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almiragonzalez\Documents\site\Federalizados\Ejercicio2021\Ajustes2021\"/>
    </mc:Choice>
  </mc:AlternateContent>
  <bookViews>
    <workbookView xWindow="0" yWindow="0" windowWidth="28800" windowHeight="12435" activeTab="1"/>
  </bookViews>
  <sheets>
    <sheet name="PROVISIONALES" sheetId="5" r:id="rId1"/>
    <sheet name="DEFINITIVAS" sheetId="6" r:id="rId2"/>
    <sheet name="SALDO AJUSTES" sheetId="8" r:id="rId3"/>
    <sheet name="FGP" sheetId="9" r:id="rId4"/>
    <sheet name="FFM" sheetId="10" r:id="rId5"/>
    <sheet name="IEPS TyA" sheetId="11" r:id="rId6"/>
    <sheet name="FOFIR" sheetId="12" r:id="rId7"/>
    <sheet name="Datos" sheetId="13" state="veryHidden" r:id="rId8"/>
    <sheet name="CENSO 2020" sheetId="14" state="veryHidden" r:id="rId9"/>
    <sheet name="Predial y Agua" sheetId="15" state="veryHidden" r:id="rId10"/>
  </sheets>
  <externalReferences>
    <externalReference r:id="rId11"/>
  </externalReferences>
  <definedNames>
    <definedName name="_xlnm.Print_Area" localSheetId="7">Datos!$B$4:$M$83</definedName>
    <definedName name="_xlnm.Print_Area" localSheetId="4">FFM!$A$1:$M$58</definedName>
    <definedName name="_xlnm.Print_Area" localSheetId="3">FGP!$B$2:$S$33</definedName>
    <definedName name="_xlnm.Print_Area" localSheetId="6">FOFIR!$A$1:$H$29</definedName>
    <definedName name="_xlnm.Print_Area" localSheetId="9">'Predial y Agua'!$A$3:$G$29</definedName>
  </definedNames>
  <calcPr calcId="152511"/>
</workbook>
</file>

<file path=xl/calcChain.xml><?xml version="1.0" encoding="utf-8"?>
<calcChain xmlns="http://schemas.openxmlformats.org/spreadsheetml/2006/main">
  <c r="L34" i="13" l="1"/>
  <c r="H27" i="12" s="1"/>
  <c r="F29" i="15"/>
  <c r="E29" i="15"/>
  <c r="C29" i="15"/>
  <c r="B29" i="15"/>
  <c r="G28" i="15"/>
  <c r="C26" i="12" s="1"/>
  <c r="D28" i="15"/>
  <c r="G27" i="9" s="1"/>
  <c r="G27" i="15"/>
  <c r="C25" i="12" s="1"/>
  <c r="D27" i="15"/>
  <c r="G26" i="9" s="1"/>
  <c r="G26" i="15"/>
  <c r="E25" i="10" s="1"/>
  <c r="D26" i="15"/>
  <c r="G25" i="9" s="1"/>
  <c r="G25" i="15"/>
  <c r="C23" i="12" s="1"/>
  <c r="D25" i="15"/>
  <c r="G24" i="9" s="1"/>
  <c r="G24" i="15"/>
  <c r="C22" i="12" s="1"/>
  <c r="D24" i="15"/>
  <c r="G23" i="9" s="1"/>
  <c r="G23" i="15"/>
  <c r="C21" i="12" s="1"/>
  <c r="D23" i="15"/>
  <c r="G22" i="9" s="1"/>
  <c r="G22" i="15"/>
  <c r="C20" i="12" s="1"/>
  <c r="D22" i="15"/>
  <c r="G21" i="9" s="1"/>
  <c r="G21" i="15"/>
  <c r="E20" i="10" s="1"/>
  <c r="D21" i="15"/>
  <c r="G20" i="9" s="1"/>
  <c r="G20" i="15"/>
  <c r="C18" i="12" s="1"/>
  <c r="D20" i="15"/>
  <c r="G19" i="9" s="1"/>
  <c r="G19" i="15"/>
  <c r="C17" i="12" s="1"/>
  <c r="D19" i="15"/>
  <c r="G18" i="9" s="1"/>
  <c r="G18" i="15"/>
  <c r="E17" i="10" s="1"/>
  <c r="D18" i="15"/>
  <c r="G17" i="9" s="1"/>
  <c r="G17" i="15"/>
  <c r="H16" i="9" s="1"/>
  <c r="D17" i="15"/>
  <c r="G16" i="9" s="1"/>
  <c r="G16" i="15"/>
  <c r="C14" i="12" s="1"/>
  <c r="D16" i="15"/>
  <c r="G15" i="9" s="1"/>
  <c r="G15" i="15"/>
  <c r="C13" i="12" s="1"/>
  <c r="D15" i="15"/>
  <c r="G14" i="9" s="1"/>
  <c r="G14" i="15"/>
  <c r="C12" i="12" s="1"/>
  <c r="D14" i="15"/>
  <c r="G13" i="9" s="1"/>
  <c r="G13" i="15"/>
  <c r="C11" i="12" s="1"/>
  <c r="D13" i="15"/>
  <c r="G12" i="9" s="1"/>
  <c r="G12" i="15"/>
  <c r="C10" i="12" s="1"/>
  <c r="D12" i="15"/>
  <c r="G11" i="9" s="1"/>
  <c r="G11" i="15"/>
  <c r="C9" i="12" s="1"/>
  <c r="D11" i="15"/>
  <c r="G10" i="9" s="1"/>
  <c r="G10" i="15"/>
  <c r="E9" i="10" s="1"/>
  <c r="D10" i="15"/>
  <c r="G9" i="9" s="1"/>
  <c r="G9" i="15"/>
  <c r="C7" i="12" s="1"/>
  <c r="D9" i="15"/>
  <c r="G8" i="9" s="1"/>
  <c r="H8" i="9" l="1"/>
  <c r="H12" i="9"/>
  <c r="E16" i="10"/>
  <c r="C19" i="12"/>
  <c r="H24" i="9"/>
  <c r="E8" i="10"/>
  <c r="E12" i="10"/>
  <c r="C15" i="12"/>
  <c r="H20" i="9"/>
  <c r="E24" i="10"/>
  <c r="H21" i="9"/>
  <c r="H13" i="9"/>
  <c r="H9" i="9"/>
  <c r="E21" i="10"/>
  <c r="E13" i="10"/>
  <c r="C24" i="12"/>
  <c r="C16" i="12"/>
  <c r="C8" i="12"/>
  <c r="H26" i="9"/>
  <c r="H22" i="9"/>
  <c r="H18" i="9"/>
  <c r="H14" i="9"/>
  <c r="H10" i="9"/>
  <c r="E26" i="10"/>
  <c r="E22" i="10"/>
  <c r="E18" i="10"/>
  <c r="E14" i="10"/>
  <c r="E10" i="10"/>
  <c r="H25" i="9"/>
  <c r="H17" i="9"/>
  <c r="G29" i="15"/>
  <c r="H27" i="9"/>
  <c r="H23" i="9"/>
  <c r="H19" i="9"/>
  <c r="H15" i="9"/>
  <c r="H11" i="9"/>
  <c r="E27" i="10"/>
  <c r="E23" i="10"/>
  <c r="E19" i="10"/>
  <c r="E15" i="10"/>
  <c r="E11" i="10"/>
  <c r="D29" i="15"/>
  <c r="E8" i="12" l="1"/>
  <c r="E9" i="12"/>
  <c r="E10" i="12"/>
  <c r="E11" i="12"/>
  <c r="E12" i="12"/>
  <c r="E13" i="12"/>
  <c r="E14" i="12"/>
  <c r="E15" i="12"/>
  <c r="E16" i="12"/>
  <c r="E17" i="12"/>
  <c r="E18" i="12"/>
  <c r="E19" i="12"/>
  <c r="E20" i="12"/>
  <c r="E21" i="12"/>
  <c r="E22" i="12"/>
  <c r="E23" i="12"/>
  <c r="E24" i="12"/>
  <c r="E25" i="12"/>
  <c r="E26" i="12"/>
  <c r="E7" i="12"/>
  <c r="C9" i="9"/>
  <c r="C10" i="9"/>
  <c r="C11" i="9"/>
  <c r="C12" i="9"/>
  <c r="C13" i="9"/>
  <c r="C14" i="9"/>
  <c r="C15" i="9"/>
  <c r="C16" i="9"/>
  <c r="C17" i="9"/>
  <c r="C18" i="9"/>
  <c r="C19" i="9"/>
  <c r="C20" i="9"/>
  <c r="C21" i="9"/>
  <c r="C22" i="9"/>
  <c r="C23" i="9"/>
  <c r="C24" i="9"/>
  <c r="C25" i="9"/>
  <c r="C26" i="9"/>
  <c r="C27" i="9"/>
  <c r="C8" i="9"/>
  <c r="E29" i="5" l="1"/>
  <c r="D10" i="5" s="1"/>
  <c r="G29" i="5"/>
  <c r="F10" i="5" s="1"/>
  <c r="I29" i="5"/>
  <c r="H10" i="5" s="1"/>
  <c r="C29" i="5"/>
  <c r="B12" i="5" s="1"/>
  <c r="I29" i="6"/>
  <c r="H10" i="6" s="1"/>
  <c r="G29" i="6"/>
  <c r="F10" i="6" s="1"/>
  <c r="E29" i="6"/>
  <c r="D11" i="6" s="1"/>
  <c r="C29" i="6"/>
  <c r="B13" i="6" s="1"/>
  <c r="H19" i="6" l="1"/>
  <c r="H25" i="6"/>
  <c r="B22" i="6"/>
  <c r="B14" i="6"/>
  <c r="F25" i="6"/>
  <c r="H17" i="6"/>
  <c r="F17" i="6"/>
  <c r="B18" i="6"/>
  <c r="F27" i="6"/>
  <c r="F11" i="6"/>
  <c r="B11" i="6"/>
  <c r="B26" i="6"/>
  <c r="F19" i="6"/>
  <c r="H27" i="6"/>
  <c r="H11" i="6"/>
  <c r="H23" i="6"/>
  <c r="H15" i="6"/>
  <c r="H9" i="6"/>
  <c r="H21" i="6"/>
  <c r="H13" i="6"/>
  <c r="F23" i="6"/>
  <c r="F15" i="6"/>
  <c r="F9" i="6"/>
  <c r="F21" i="6"/>
  <c r="F13" i="6"/>
  <c r="D28" i="6"/>
  <c r="D22" i="6"/>
  <c r="D17" i="6"/>
  <c r="D12" i="6"/>
  <c r="D26" i="6"/>
  <c r="D21" i="6"/>
  <c r="D16" i="6"/>
  <c r="D10" i="6"/>
  <c r="D25" i="6"/>
  <c r="D20" i="6"/>
  <c r="D14" i="6"/>
  <c r="D9" i="6"/>
  <c r="D24" i="6"/>
  <c r="D18" i="6"/>
  <c r="D13" i="6"/>
  <c r="B28" i="6"/>
  <c r="B24" i="6"/>
  <c r="B20" i="6"/>
  <c r="B16" i="6"/>
  <c r="B12" i="6"/>
  <c r="B9" i="6"/>
  <c r="B27" i="6"/>
  <c r="B23" i="6"/>
  <c r="B19" i="6"/>
  <c r="B15" i="6"/>
  <c r="B10" i="6"/>
  <c r="B25" i="6"/>
  <c r="B21" i="6"/>
  <c r="B17" i="6"/>
  <c r="H27" i="5"/>
  <c r="H11" i="5"/>
  <c r="H23" i="5"/>
  <c r="H15" i="5"/>
  <c r="H9" i="5"/>
  <c r="H21" i="5"/>
  <c r="H13" i="5"/>
  <c r="H19" i="5"/>
  <c r="H25" i="5"/>
  <c r="H17" i="5"/>
  <c r="D23" i="5"/>
  <c r="D19" i="5"/>
  <c r="D11" i="5"/>
  <c r="D27" i="5"/>
  <c r="D15" i="5"/>
  <c r="B19" i="5"/>
  <c r="B14" i="5"/>
  <c r="B25" i="5"/>
  <c r="B27" i="5"/>
  <c r="B22" i="5"/>
  <c r="B17" i="5"/>
  <c r="B11" i="5"/>
  <c r="B26" i="5"/>
  <c r="B21" i="5"/>
  <c r="B15" i="5"/>
  <c r="B10" i="5"/>
  <c r="B9" i="5"/>
  <c r="B23" i="5"/>
  <c r="B18" i="5"/>
  <c r="B13" i="5"/>
  <c r="B28" i="5"/>
  <c r="B24" i="5"/>
  <c r="B20" i="5"/>
  <c r="B16" i="5"/>
  <c r="H28" i="5"/>
  <c r="H24" i="5"/>
  <c r="H20" i="5"/>
  <c r="H16" i="5"/>
  <c r="H12" i="5"/>
  <c r="H26" i="5"/>
  <c r="H22" i="5"/>
  <c r="H18" i="5"/>
  <c r="H14" i="5"/>
  <c r="F25" i="5"/>
  <c r="F13" i="5"/>
  <c r="F28" i="5"/>
  <c r="F24" i="5"/>
  <c r="F20" i="5"/>
  <c r="F16" i="5"/>
  <c r="F12" i="5"/>
  <c r="F9" i="5"/>
  <c r="F17" i="5"/>
  <c r="F27" i="5"/>
  <c r="F23" i="5"/>
  <c r="F19" i="5"/>
  <c r="F15" i="5"/>
  <c r="F11" i="5"/>
  <c r="F21" i="5"/>
  <c r="F26" i="5"/>
  <c r="F22" i="5"/>
  <c r="F18" i="5"/>
  <c r="F14" i="5"/>
  <c r="D9" i="5"/>
  <c r="D25" i="5"/>
  <c r="D21" i="5"/>
  <c r="D17" i="5"/>
  <c r="D13" i="5"/>
  <c r="D28" i="5"/>
  <c r="D24" i="5"/>
  <c r="D20" i="5"/>
  <c r="D16" i="5"/>
  <c r="D12" i="5"/>
  <c r="D26" i="5"/>
  <c r="D22" i="5"/>
  <c r="D18" i="5"/>
  <c r="D14" i="5"/>
  <c r="H28" i="6"/>
  <c r="H24" i="6"/>
  <c r="H20" i="6"/>
  <c r="H16" i="6"/>
  <c r="H12" i="6"/>
  <c r="H26" i="6"/>
  <c r="H22" i="6"/>
  <c r="H18" i="6"/>
  <c r="H14" i="6"/>
  <c r="F28" i="6"/>
  <c r="F24" i="6"/>
  <c r="F20" i="6"/>
  <c r="F16" i="6"/>
  <c r="F12" i="6"/>
  <c r="F26" i="6"/>
  <c r="F22" i="6"/>
  <c r="F18" i="6"/>
  <c r="F14" i="6"/>
  <c r="D27" i="6"/>
  <c r="D23" i="6"/>
  <c r="D19" i="6"/>
  <c r="D15" i="6"/>
  <c r="H29" i="5" l="1"/>
  <c r="F29" i="5"/>
  <c r="D29" i="5" l="1"/>
  <c r="C30" i="14" l="1"/>
  <c r="I79" i="13"/>
  <c r="J79" i="13" s="1"/>
  <c r="I78" i="13"/>
  <c r="J78" i="13" s="1"/>
  <c r="I77" i="13"/>
  <c r="I69" i="13"/>
  <c r="J69" i="13" s="1"/>
  <c r="I68" i="13"/>
  <c r="J68" i="13" s="1"/>
  <c r="I67" i="13"/>
  <c r="K58" i="13"/>
  <c r="K60" i="13" s="1"/>
  <c r="O55" i="13"/>
  <c r="O56" i="13" s="1"/>
  <c r="K55" i="13"/>
  <c r="I55" i="13" s="1"/>
  <c r="I54" i="13"/>
  <c r="I53" i="13"/>
  <c r="K50" i="13"/>
  <c r="L49" i="13"/>
  <c r="K45" i="13"/>
  <c r="K40" i="13"/>
  <c r="K35" i="13"/>
  <c r="I35" i="13" s="1"/>
  <c r="I34" i="13"/>
  <c r="I33" i="13"/>
  <c r="L28" i="13"/>
  <c r="L27" i="13"/>
  <c r="K24" i="13"/>
  <c r="K25" i="13" s="1"/>
  <c r="K26" i="13" s="1"/>
  <c r="K28" i="13" s="1"/>
  <c r="I13" i="13"/>
  <c r="N12" i="13"/>
  <c r="K11" i="13"/>
  <c r="I12" i="13" s="1"/>
  <c r="L10" i="13"/>
  <c r="M9" i="13"/>
  <c r="M10" i="13" s="1"/>
  <c r="J27" i="12"/>
  <c r="B58" i="10"/>
  <c r="B57" i="10"/>
  <c r="B56" i="10"/>
  <c r="B55" i="10"/>
  <c r="B54" i="10"/>
  <c r="B53" i="10"/>
  <c r="B52" i="10"/>
  <c r="B51" i="10"/>
  <c r="B50" i="10"/>
  <c r="B49" i="10"/>
  <c r="B48" i="10"/>
  <c r="B47" i="10"/>
  <c r="B46" i="10"/>
  <c r="B45" i="10"/>
  <c r="B44" i="10"/>
  <c r="B43" i="10"/>
  <c r="B42" i="10"/>
  <c r="B41" i="10"/>
  <c r="B40" i="10"/>
  <c r="B39" i="10"/>
  <c r="B38" i="10"/>
  <c r="S28" i="10"/>
  <c r="Q28" i="10"/>
  <c r="O28" i="10"/>
  <c r="P27" i="10"/>
  <c r="N27" i="10"/>
  <c r="B27" i="10"/>
  <c r="T26" i="10"/>
  <c r="N26" i="10"/>
  <c r="P26" i="10" s="1"/>
  <c r="B26" i="10"/>
  <c r="T25" i="10"/>
  <c r="N25" i="10"/>
  <c r="P25" i="10" s="1"/>
  <c r="B25" i="10"/>
  <c r="T24" i="10"/>
  <c r="N24" i="10"/>
  <c r="P24" i="10" s="1"/>
  <c r="B24" i="10"/>
  <c r="T23" i="10"/>
  <c r="N23" i="10"/>
  <c r="P23" i="10" s="1"/>
  <c r="B23" i="10"/>
  <c r="T22" i="10"/>
  <c r="N22" i="10"/>
  <c r="P22" i="10" s="1"/>
  <c r="B22" i="10"/>
  <c r="T21" i="10"/>
  <c r="N21" i="10"/>
  <c r="P21" i="10" s="1"/>
  <c r="B21" i="10"/>
  <c r="T20" i="10"/>
  <c r="N20" i="10"/>
  <c r="P20" i="10" s="1"/>
  <c r="B20" i="10"/>
  <c r="T19" i="10"/>
  <c r="P19" i="10"/>
  <c r="N19" i="10"/>
  <c r="B19" i="10"/>
  <c r="T18" i="10"/>
  <c r="N18" i="10"/>
  <c r="P18" i="10" s="1"/>
  <c r="B18" i="10"/>
  <c r="T17" i="10"/>
  <c r="N17" i="10"/>
  <c r="P17" i="10" s="1"/>
  <c r="B17" i="10"/>
  <c r="T16" i="10"/>
  <c r="N16" i="10"/>
  <c r="P16" i="10" s="1"/>
  <c r="B16" i="10"/>
  <c r="T15" i="10"/>
  <c r="N15" i="10"/>
  <c r="P15" i="10" s="1"/>
  <c r="B15" i="10"/>
  <c r="T14" i="10"/>
  <c r="N14" i="10"/>
  <c r="P14" i="10" s="1"/>
  <c r="B14" i="10"/>
  <c r="T13" i="10"/>
  <c r="P13" i="10"/>
  <c r="N13" i="10"/>
  <c r="B13" i="10"/>
  <c r="P12" i="10"/>
  <c r="N12" i="10"/>
  <c r="B12" i="10"/>
  <c r="N11" i="10"/>
  <c r="P11" i="10" s="1"/>
  <c r="B11" i="10"/>
  <c r="N10" i="10"/>
  <c r="P10" i="10" s="1"/>
  <c r="B10" i="10"/>
  <c r="P9" i="10"/>
  <c r="N9" i="10"/>
  <c r="B9" i="10"/>
  <c r="P8" i="10"/>
  <c r="P28" i="10" s="1"/>
  <c r="N8" i="10"/>
  <c r="N28" i="10" s="1"/>
  <c r="L8" i="10"/>
  <c r="L28" i="10" s="1"/>
  <c r="B8" i="10"/>
  <c r="G28" i="9"/>
  <c r="C28" i="9"/>
  <c r="D25" i="9" s="1"/>
  <c r="E25" i="9" s="1"/>
  <c r="I19" i="13" l="1"/>
  <c r="L50" i="13"/>
  <c r="D9" i="11"/>
  <c r="D11" i="11"/>
  <c r="D15" i="11"/>
  <c r="D19" i="11"/>
  <c r="D23" i="11"/>
  <c r="D7" i="11"/>
  <c r="D8" i="11"/>
  <c r="D12" i="11"/>
  <c r="D16" i="11"/>
  <c r="D20" i="11"/>
  <c r="D24" i="11"/>
  <c r="D13" i="11"/>
  <c r="D17" i="11"/>
  <c r="D21" i="11"/>
  <c r="D25" i="11"/>
  <c r="D10" i="11"/>
  <c r="D14" i="11"/>
  <c r="D18" i="11"/>
  <c r="D22" i="11"/>
  <c r="D26" i="11"/>
  <c r="I70" i="13"/>
  <c r="K27" i="13"/>
  <c r="J67" i="13"/>
  <c r="J70" i="13" s="1"/>
  <c r="I80" i="13"/>
  <c r="J77" i="13"/>
  <c r="J80" i="13" s="1"/>
  <c r="I9" i="9"/>
  <c r="I12" i="9"/>
  <c r="I13" i="9"/>
  <c r="I17" i="9"/>
  <c r="I20" i="9"/>
  <c r="I21" i="9"/>
  <c r="I24" i="9"/>
  <c r="I25" i="9"/>
  <c r="I16" i="9"/>
  <c r="I10" i="9"/>
  <c r="I11" i="9"/>
  <c r="I15" i="9"/>
  <c r="I19" i="9"/>
  <c r="I23" i="9"/>
  <c r="I26" i="9"/>
  <c r="I27" i="9"/>
  <c r="E28" i="10"/>
  <c r="F18" i="10" s="1"/>
  <c r="G18" i="10" s="1"/>
  <c r="I14" i="9"/>
  <c r="I18" i="9"/>
  <c r="I22" i="9"/>
  <c r="D20" i="9"/>
  <c r="E20" i="9" s="1"/>
  <c r="L30" i="13"/>
  <c r="E27" i="12"/>
  <c r="D10" i="9"/>
  <c r="E10" i="9" s="1"/>
  <c r="D14" i="9"/>
  <c r="E14" i="9" s="1"/>
  <c r="D18" i="9"/>
  <c r="E18" i="9" s="1"/>
  <c r="D24" i="9"/>
  <c r="E24" i="9" s="1"/>
  <c r="D9" i="9"/>
  <c r="E9" i="9" s="1"/>
  <c r="D13" i="9"/>
  <c r="E13" i="9" s="1"/>
  <c r="D17" i="9"/>
  <c r="E17" i="9" s="1"/>
  <c r="D26" i="9"/>
  <c r="E26" i="9" s="1"/>
  <c r="D8" i="9"/>
  <c r="E8" i="9" s="1"/>
  <c r="D12" i="9"/>
  <c r="E12" i="9" s="1"/>
  <c r="D16" i="9"/>
  <c r="E16" i="9" s="1"/>
  <c r="D11" i="9"/>
  <c r="E11" i="9" s="1"/>
  <c r="D15" i="9"/>
  <c r="E15" i="9" s="1"/>
  <c r="D19" i="9"/>
  <c r="E19" i="9" s="1"/>
  <c r="D22" i="9"/>
  <c r="E22" i="9" s="1"/>
  <c r="L16" i="13"/>
  <c r="L15" i="13"/>
  <c r="L17" i="13"/>
  <c r="R28" i="9" s="1"/>
  <c r="I8" i="9"/>
  <c r="D23" i="9"/>
  <c r="E23" i="9" s="1"/>
  <c r="D27" i="9"/>
  <c r="E27" i="9" s="1"/>
  <c r="D21" i="9"/>
  <c r="E21" i="9" s="1"/>
  <c r="T28" i="10"/>
  <c r="B28" i="10"/>
  <c r="C15" i="10" s="1"/>
  <c r="I17" i="13"/>
  <c r="I15" i="13"/>
  <c r="I18" i="13" s="1"/>
  <c r="K18" i="13" s="1"/>
  <c r="I16" i="13"/>
  <c r="K30" i="13"/>
  <c r="C27" i="12" l="1"/>
  <c r="D10" i="12" s="1"/>
  <c r="F10" i="12" s="1"/>
  <c r="H28" i="9"/>
  <c r="L18" i="13"/>
  <c r="F12" i="9" s="1"/>
  <c r="C19" i="10"/>
  <c r="D15" i="10"/>
  <c r="F28" i="10"/>
  <c r="F27" i="10"/>
  <c r="G27" i="10" s="1"/>
  <c r="F19" i="10"/>
  <c r="G19" i="10" s="1"/>
  <c r="F23" i="10"/>
  <c r="G23" i="10" s="1"/>
  <c r="F25" i="10"/>
  <c r="G25" i="10" s="1"/>
  <c r="F11" i="10"/>
  <c r="G11" i="10" s="1"/>
  <c r="F10" i="10"/>
  <c r="G10" i="10" s="1"/>
  <c r="F21" i="10"/>
  <c r="G21" i="10" s="1"/>
  <c r="F13" i="10"/>
  <c r="G13" i="10" s="1"/>
  <c r="F9" i="10"/>
  <c r="G9" i="10" s="1"/>
  <c r="F15" i="10"/>
  <c r="G15" i="10" s="1"/>
  <c r="F12" i="10"/>
  <c r="G12" i="10" s="1"/>
  <c r="C21" i="10"/>
  <c r="C25" i="10"/>
  <c r="F20" i="10"/>
  <c r="G20" i="10" s="1"/>
  <c r="F8" i="10"/>
  <c r="G8" i="10" s="1"/>
  <c r="F17" i="10"/>
  <c r="G17" i="10" s="1"/>
  <c r="C11" i="10"/>
  <c r="D28" i="9"/>
  <c r="I28" i="9"/>
  <c r="D27" i="11"/>
  <c r="C10" i="10"/>
  <c r="F24" i="10"/>
  <c r="G24" i="10" s="1"/>
  <c r="C13" i="10"/>
  <c r="C27" i="10"/>
  <c r="E28" i="9"/>
  <c r="D19" i="10"/>
  <c r="F16" i="10"/>
  <c r="G16" i="10" s="1"/>
  <c r="F22" i="10"/>
  <c r="G22" i="10" s="1"/>
  <c r="F26" i="10"/>
  <c r="G26" i="10" s="1"/>
  <c r="C28" i="10"/>
  <c r="C20" i="10"/>
  <c r="C24" i="10"/>
  <c r="C22" i="10"/>
  <c r="C18" i="10"/>
  <c r="C26" i="10"/>
  <c r="C14" i="10"/>
  <c r="C8" i="10"/>
  <c r="C16" i="10"/>
  <c r="C23" i="10"/>
  <c r="C9" i="10"/>
  <c r="F14" i="10"/>
  <c r="G14" i="10" s="1"/>
  <c r="C12" i="10"/>
  <c r="C17" i="10"/>
  <c r="D21" i="12" l="1"/>
  <c r="F21" i="12" s="1"/>
  <c r="D14" i="12"/>
  <c r="F14" i="12" s="1"/>
  <c r="D7" i="12"/>
  <c r="F7" i="12" s="1"/>
  <c r="D23" i="12"/>
  <c r="F23" i="12" s="1"/>
  <c r="D16" i="12"/>
  <c r="F16" i="12" s="1"/>
  <c r="D19" i="12"/>
  <c r="F19" i="12" s="1"/>
  <c r="D17" i="12"/>
  <c r="F17" i="12" s="1"/>
  <c r="D20" i="12"/>
  <c r="F20" i="12" s="1"/>
  <c r="D12" i="12"/>
  <c r="F12" i="12" s="1"/>
  <c r="D15" i="12"/>
  <c r="F15" i="12" s="1"/>
  <c r="D9" i="12"/>
  <c r="F9" i="12" s="1"/>
  <c r="D8" i="12"/>
  <c r="F8" i="12" s="1"/>
  <c r="D24" i="12"/>
  <c r="F24" i="12" s="1"/>
  <c r="D11" i="12"/>
  <c r="F11" i="12" s="1"/>
  <c r="D25" i="12"/>
  <c r="F25" i="12" s="1"/>
  <c r="D22" i="12"/>
  <c r="F22" i="12" s="1"/>
  <c r="D13" i="12"/>
  <c r="F13" i="12" s="1"/>
  <c r="D18" i="12"/>
  <c r="F18" i="12" s="1"/>
  <c r="D26" i="12"/>
  <c r="F26" i="12" s="1"/>
  <c r="F15" i="9"/>
  <c r="F17" i="9"/>
  <c r="F27" i="9"/>
  <c r="F22" i="9"/>
  <c r="F11" i="9"/>
  <c r="F18" i="9"/>
  <c r="F25" i="9"/>
  <c r="F21" i="9"/>
  <c r="F14" i="9"/>
  <c r="F26" i="9"/>
  <c r="F16" i="9"/>
  <c r="F9" i="9"/>
  <c r="F23" i="9"/>
  <c r="F13" i="9"/>
  <c r="F20" i="9"/>
  <c r="F8" i="9"/>
  <c r="F19" i="9"/>
  <c r="F10" i="9"/>
  <c r="F24" i="9"/>
  <c r="D20" i="10"/>
  <c r="J20" i="10"/>
  <c r="K20" i="10" s="1"/>
  <c r="G28" i="10"/>
  <c r="J15" i="10"/>
  <c r="K15" i="10" s="1"/>
  <c r="D12" i="10"/>
  <c r="J12" i="10"/>
  <c r="K12" i="10" s="1"/>
  <c r="J16" i="10"/>
  <c r="K16" i="10" s="1"/>
  <c r="D16" i="10"/>
  <c r="J18" i="10"/>
  <c r="K18" i="10" s="1"/>
  <c r="D18" i="10"/>
  <c r="J10" i="10"/>
  <c r="K10" i="10" s="1"/>
  <c r="D10" i="10"/>
  <c r="J8" i="10"/>
  <c r="D8" i="10"/>
  <c r="J26" i="10"/>
  <c r="K26" i="10" s="1"/>
  <c r="D26" i="10"/>
  <c r="J26" i="9"/>
  <c r="K26" i="9" s="1"/>
  <c r="J22" i="9"/>
  <c r="K22" i="9" s="1"/>
  <c r="J24" i="9"/>
  <c r="K24" i="9" s="1"/>
  <c r="J20" i="9"/>
  <c r="K20" i="9" s="1"/>
  <c r="J10" i="9"/>
  <c r="K10" i="9" s="1"/>
  <c r="J23" i="9"/>
  <c r="K23" i="9" s="1"/>
  <c r="J9" i="9"/>
  <c r="K9" i="9" s="1"/>
  <c r="J16" i="9"/>
  <c r="K16" i="9" s="1"/>
  <c r="J12" i="9"/>
  <c r="K12" i="9" s="1"/>
  <c r="J21" i="9"/>
  <c r="K21" i="9" s="1"/>
  <c r="J11" i="9"/>
  <c r="K11" i="9" s="1"/>
  <c r="J17" i="9"/>
  <c r="K17" i="9" s="1"/>
  <c r="J14" i="9"/>
  <c r="K14" i="9" s="1"/>
  <c r="J13" i="9"/>
  <c r="K13" i="9" s="1"/>
  <c r="J18" i="9"/>
  <c r="K18" i="9" s="1"/>
  <c r="J27" i="9"/>
  <c r="K27" i="9" s="1"/>
  <c r="J15" i="9"/>
  <c r="K15" i="9" s="1"/>
  <c r="J19" i="9"/>
  <c r="K19" i="9" s="1"/>
  <c r="J25" i="9"/>
  <c r="K25" i="9" s="1"/>
  <c r="D17" i="10"/>
  <c r="J17" i="10"/>
  <c r="K17" i="10" s="1"/>
  <c r="R17" i="10" s="1"/>
  <c r="J22" i="10"/>
  <c r="K22" i="10" s="1"/>
  <c r="D22" i="10"/>
  <c r="C49" i="10"/>
  <c r="I19" i="10"/>
  <c r="H19" i="10"/>
  <c r="J27" i="10"/>
  <c r="K27" i="10" s="1"/>
  <c r="D27" i="10"/>
  <c r="J11" i="10"/>
  <c r="K11" i="10" s="1"/>
  <c r="D11" i="10"/>
  <c r="J25" i="10"/>
  <c r="K25" i="10" s="1"/>
  <c r="D25" i="10"/>
  <c r="J9" i="10"/>
  <c r="K9" i="10" s="1"/>
  <c r="D9" i="10"/>
  <c r="D14" i="10"/>
  <c r="J14" i="10"/>
  <c r="K14" i="10" s="1"/>
  <c r="D24" i="10"/>
  <c r="J24" i="10"/>
  <c r="K24" i="10" s="1"/>
  <c r="J19" i="10"/>
  <c r="K19" i="10" s="1"/>
  <c r="J13" i="10"/>
  <c r="K13" i="10" s="1"/>
  <c r="D13" i="10"/>
  <c r="J8" i="9"/>
  <c r="D21" i="10"/>
  <c r="J21" i="10"/>
  <c r="K21" i="10" s="1"/>
  <c r="C45" i="10"/>
  <c r="I15" i="10"/>
  <c r="H15" i="10"/>
  <c r="J23" i="10"/>
  <c r="K23" i="10" s="1"/>
  <c r="D23" i="10"/>
  <c r="F27" i="12" l="1"/>
  <c r="G7" i="12" s="1"/>
  <c r="I7" i="12" s="1"/>
  <c r="D27" i="12"/>
  <c r="F28" i="9"/>
  <c r="H7" i="12"/>
  <c r="R9" i="10"/>
  <c r="M9" i="10"/>
  <c r="T12" i="9"/>
  <c r="N12" i="9"/>
  <c r="O12" i="9" s="1"/>
  <c r="L12" i="9"/>
  <c r="N26" i="9"/>
  <c r="O26" i="9" s="1"/>
  <c r="T26" i="9"/>
  <c r="L26" i="9"/>
  <c r="C42" i="10"/>
  <c r="I12" i="10"/>
  <c r="H12" i="10"/>
  <c r="G27" i="12"/>
  <c r="G13" i="12"/>
  <c r="G23" i="12"/>
  <c r="G9" i="12"/>
  <c r="G25" i="12"/>
  <c r="G21" i="12"/>
  <c r="G19" i="12"/>
  <c r="G15" i="12"/>
  <c r="G14" i="12"/>
  <c r="G16" i="12"/>
  <c r="G20" i="12"/>
  <c r="G18" i="12"/>
  <c r="G26" i="12"/>
  <c r="G24" i="12"/>
  <c r="G11" i="12"/>
  <c r="G22" i="12"/>
  <c r="M14" i="10"/>
  <c r="R14" i="10"/>
  <c r="I25" i="10"/>
  <c r="C55" i="10"/>
  <c r="H25" i="10"/>
  <c r="C57" i="10"/>
  <c r="I27" i="10"/>
  <c r="H27" i="10"/>
  <c r="D49" i="10"/>
  <c r="E49" i="10"/>
  <c r="H17" i="10"/>
  <c r="C47" i="10"/>
  <c r="I17" i="10"/>
  <c r="N27" i="9"/>
  <c r="O27" i="9" s="1"/>
  <c r="T27" i="9"/>
  <c r="L27" i="9"/>
  <c r="N17" i="9"/>
  <c r="O17" i="9" s="1"/>
  <c r="T17" i="9"/>
  <c r="L17" i="9"/>
  <c r="T16" i="9"/>
  <c r="L16" i="9"/>
  <c r="N16" i="9"/>
  <c r="O16" i="9" s="1"/>
  <c r="N20" i="9"/>
  <c r="O20" i="9" s="1"/>
  <c r="T20" i="9"/>
  <c r="L20" i="9"/>
  <c r="M26" i="10"/>
  <c r="R26" i="10"/>
  <c r="C46" i="10"/>
  <c r="H16" i="10"/>
  <c r="I16" i="10"/>
  <c r="R15" i="10"/>
  <c r="M15" i="10"/>
  <c r="R23" i="10"/>
  <c r="M23" i="10"/>
  <c r="K8" i="9"/>
  <c r="J28" i="9"/>
  <c r="C54" i="10"/>
  <c r="H24" i="10"/>
  <c r="I24" i="10"/>
  <c r="R11" i="10"/>
  <c r="M11" i="10"/>
  <c r="T14" i="9"/>
  <c r="N14" i="9"/>
  <c r="O14" i="9" s="1"/>
  <c r="L14" i="9"/>
  <c r="T10" i="9"/>
  <c r="N10" i="9"/>
  <c r="O10" i="9" s="1"/>
  <c r="L10" i="9"/>
  <c r="H26" i="10"/>
  <c r="I26" i="10"/>
  <c r="C56" i="10"/>
  <c r="R21" i="10"/>
  <c r="M21" i="10"/>
  <c r="R19" i="10"/>
  <c r="M19" i="10"/>
  <c r="H14" i="10"/>
  <c r="C44" i="10"/>
  <c r="I14" i="10"/>
  <c r="R25" i="10"/>
  <c r="M25" i="10"/>
  <c r="R27" i="10"/>
  <c r="M27" i="10"/>
  <c r="H22" i="10"/>
  <c r="C52" i="10"/>
  <c r="I22" i="10"/>
  <c r="L25" i="9"/>
  <c r="N25" i="9"/>
  <c r="O25" i="9" s="1"/>
  <c r="T25" i="9"/>
  <c r="T18" i="9"/>
  <c r="N18" i="9"/>
  <c r="O18" i="9" s="1"/>
  <c r="L18" i="9"/>
  <c r="L11" i="9"/>
  <c r="T11" i="9"/>
  <c r="N11" i="9"/>
  <c r="O11" i="9" s="1"/>
  <c r="L9" i="9"/>
  <c r="T9" i="9"/>
  <c r="N9" i="9"/>
  <c r="O9" i="9" s="1"/>
  <c r="N24" i="9"/>
  <c r="O24" i="9" s="1"/>
  <c r="T24" i="9"/>
  <c r="L24" i="9"/>
  <c r="C38" i="10"/>
  <c r="D28" i="10"/>
  <c r="C58" i="10" s="1"/>
  <c r="D58" i="10" s="1"/>
  <c r="H8" i="10"/>
  <c r="I8" i="10"/>
  <c r="I28" i="10" s="1"/>
  <c r="I10" i="10"/>
  <c r="C40" i="10"/>
  <c r="H10" i="10"/>
  <c r="M16" i="10"/>
  <c r="R16" i="10"/>
  <c r="C53" i="10"/>
  <c r="I23" i="10"/>
  <c r="H23" i="10"/>
  <c r="D45" i="10"/>
  <c r="E45" i="10"/>
  <c r="I21" i="10"/>
  <c r="C51" i="10"/>
  <c r="H21" i="10"/>
  <c r="C43" i="10"/>
  <c r="I13" i="10"/>
  <c r="H13" i="10"/>
  <c r="M24" i="10"/>
  <c r="R24" i="10"/>
  <c r="C39" i="10"/>
  <c r="I9" i="10"/>
  <c r="H9" i="10"/>
  <c r="C41" i="10"/>
  <c r="I11" i="10"/>
  <c r="H11" i="10"/>
  <c r="M22" i="10"/>
  <c r="R22" i="10"/>
  <c r="N19" i="9"/>
  <c r="O19" i="9" s="1"/>
  <c r="T19" i="9"/>
  <c r="L19" i="9"/>
  <c r="T13" i="9"/>
  <c r="L13" i="9"/>
  <c r="N13" i="9"/>
  <c r="O13" i="9" s="1"/>
  <c r="N21" i="9"/>
  <c r="O21" i="9" s="1"/>
  <c r="T21" i="9"/>
  <c r="L21" i="9"/>
  <c r="N23" i="9"/>
  <c r="O23" i="9" s="1"/>
  <c r="T23" i="9"/>
  <c r="L23" i="9"/>
  <c r="T22" i="9"/>
  <c r="L22" i="9"/>
  <c r="N22" i="9"/>
  <c r="O22" i="9" s="1"/>
  <c r="J28" i="10"/>
  <c r="K28" i="10" s="1"/>
  <c r="K8" i="10"/>
  <c r="R10" i="10"/>
  <c r="M10" i="10"/>
  <c r="H18" i="10"/>
  <c r="I18" i="10"/>
  <c r="C48" i="10"/>
  <c r="R12" i="10"/>
  <c r="M12" i="10"/>
  <c r="M20" i="10"/>
  <c r="R20" i="10"/>
  <c r="R13" i="10"/>
  <c r="M13" i="10"/>
  <c r="T15" i="9"/>
  <c r="N15" i="9"/>
  <c r="O15" i="9" s="1"/>
  <c r="L15" i="9"/>
  <c r="M18" i="10"/>
  <c r="R18" i="10"/>
  <c r="C50" i="10"/>
  <c r="H20" i="10"/>
  <c r="I20" i="10"/>
  <c r="G12" i="12" l="1"/>
  <c r="I12" i="12" s="1"/>
  <c r="K12" i="12" s="1"/>
  <c r="G10" i="12"/>
  <c r="G8" i="12"/>
  <c r="G17" i="12"/>
  <c r="I17" i="12" s="1"/>
  <c r="K17" i="12" s="1"/>
  <c r="F49" i="10"/>
  <c r="M23" i="9"/>
  <c r="D41" i="10"/>
  <c r="E41" i="10"/>
  <c r="D43" i="10"/>
  <c r="E43" i="10"/>
  <c r="D53" i="10"/>
  <c r="E53" i="10"/>
  <c r="H28" i="10"/>
  <c r="M9" i="9"/>
  <c r="M18" i="9"/>
  <c r="E56" i="10"/>
  <c r="D56" i="10"/>
  <c r="M17" i="9"/>
  <c r="I11" i="12"/>
  <c r="K11" i="12" s="1"/>
  <c r="H11" i="12"/>
  <c r="I18" i="12"/>
  <c r="K18" i="12" s="1"/>
  <c r="H18" i="12"/>
  <c r="I14" i="12"/>
  <c r="K14" i="12" s="1"/>
  <c r="H14" i="12"/>
  <c r="H21" i="12"/>
  <c r="I21" i="12"/>
  <c r="K21" i="12" s="1"/>
  <c r="I23" i="12"/>
  <c r="K23" i="12" s="1"/>
  <c r="H23" i="12"/>
  <c r="M13" i="9"/>
  <c r="M15" i="9"/>
  <c r="M19" i="9"/>
  <c r="F45" i="10"/>
  <c r="E40" i="10"/>
  <c r="D40" i="10"/>
  <c r="M25" i="9"/>
  <c r="D54" i="10"/>
  <c r="E54" i="10"/>
  <c r="D57" i="10"/>
  <c r="E57" i="10"/>
  <c r="I24" i="12"/>
  <c r="K24" i="12" s="1"/>
  <c r="H24" i="12"/>
  <c r="I20" i="12"/>
  <c r="K20" i="12" s="1"/>
  <c r="H20" i="12"/>
  <c r="I15" i="12"/>
  <c r="K15" i="12" s="1"/>
  <c r="H15" i="12"/>
  <c r="H25" i="12"/>
  <c r="I25" i="12"/>
  <c r="K25" i="12" s="1"/>
  <c r="H13" i="12"/>
  <c r="I13" i="12"/>
  <c r="K13" i="12" s="1"/>
  <c r="D42" i="10"/>
  <c r="E42" i="10"/>
  <c r="M12" i="9"/>
  <c r="R8" i="10"/>
  <c r="R28" i="10" s="1"/>
  <c r="M8" i="10"/>
  <c r="M28" i="10" s="1"/>
  <c r="D39" i="10"/>
  <c r="E39" i="10"/>
  <c r="D50" i="10"/>
  <c r="E50" i="10"/>
  <c r="E48" i="10"/>
  <c r="D48" i="10"/>
  <c r="M22" i="9"/>
  <c r="D51" i="10"/>
  <c r="E51" i="10"/>
  <c r="D38" i="10"/>
  <c r="E38" i="10"/>
  <c r="E58" i="10" s="1"/>
  <c r="E44" i="10"/>
  <c r="D44" i="10"/>
  <c r="M14" i="9"/>
  <c r="D46" i="10"/>
  <c r="E46" i="10"/>
  <c r="M20" i="9"/>
  <c r="M16" i="9"/>
  <c r="I26" i="12"/>
  <c r="K26" i="12" s="1"/>
  <c r="H26" i="12"/>
  <c r="I16" i="12"/>
  <c r="K16" i="12" s="1"/>
  <c r="H16" i="12"/>
  <c r="I19" i="12"/>
  <c r="K19" i="12" s="1"/>
  <c r="H19" i="12"/>
  <c r="H9" i="12"/>
  <c r="I9" i="12"/>
  <c r="K9" i="12" s="1"/>
  <c r="M26" i="9"/>
  <c r="M21" i="9"/>
  <c r="M24" i="9"/>
  <c r="M11" i="9"/>
  <c r="E52" i="10"/>
  <c r="D52" i="10"/>
  <c r="M10" i="9"/>
  <c r="K28" i="9"/>
  <c r="T28" i="9" s="1"/>
  <c r="T8" i="9"/>
  <c r="L8" i="9"/>
  <c r="N8" i="9"/>
  <c r="M27" i="9"/>
  <c r="D47" i="10"/>
  <c r="E47" i="10"/>
  <c r="D55" i="10"/>
  <c r="E55" i="10"/>
  <c r="I22" i="12"/>
  <c r="K22" i="12" s="1"/>
  <c r="H22" i="12"/>
  <c r="H12" i="12"/>
  <c r="I10" i="12"/>
  <c r="K10" i="12" s="1"/>
  <c r="H10" i="12"/>
  <c r="I8" i="12"/>
  <c r="K8" i="12" s="1"/>
  <c r="H8" i="12"/>
  <c r="H17" i="12"/>
  <c r="K7" i="12"/>
  <c r="K27" i="12" l="1"/>
  <c r="F42" i="10"/>
  <c r="F57" i="10"/>
  <c r="F50" i="10"/>
  <c r="F38" i="10"/>
  <c r="F54" i="10"/>
  <c r="F55" i="10"/>
  <c r="F44" i="10"/>
  <c r="F53" i="10"/>
  <c r="F41" i="10"/>
  <c r="F52" i="10"/>
  <c r="F40" i="10"/>
  <c r="O8" i="9"/>
  <c r="N28" i="9"/>
  <c r="F46" i="10"/>
  <c r="F39" i="10"/>
  <c r="F47" i="10"/>
  <c r="L28" i="9"/>
  <c r="M28" i="9" s="1"/>
  <c r="M8" i="9"/>
  <c r="F51" i="10"/>
  <c r="F43" i="10"/>
  <c r="I27" i="12"/>
  <c r="F48" i="10"/>
  <c r="F56" i="10"/>
  <c r="K11" i="6"/>
  <c r="C11" i="8" s="1"/>
  <c r="K10" i="6"/>
  <c r="C10" i="8" s="1"/>
  <c r="K13" i="6"/>
  <c r="C13" i="8" s="1"/>
  <c r="K16" i="6"/>
  <c r="C16" i="8" s="1"/>
  <c r="K17" i="6"/>
  <c r="C17" i="8" s="1"/>
  <c r="K19" i="6"/>
  <c r="C19" i="8" s="1"/>
  <c r="K20" i="6"/>
  <c r="C20" i="8" s="1"/>
  <c r="K21" i="6"/>
  <c r="C21" i="8" s="1"/>
  <c r="K23" i="6"/>
  <c r="C23" i="8" s="1"/>
  <c r="K24" i="6"/>
  <c r="C24" i="8" s="1"/>
  <c r="K25" i="6"/>
  <c r="C25" i="8" s="1"/>
  <c r="K27" i="6"/>
  <c r="C27" i="8" s="1"/>
  <c r="K28" i="6"/>
  <c r="C28" i="8" s="1"/>
  <c r="K22" i="6"/>
  <c r="C22" i="8" s="1"/>
  <c r="K18" i="6"/>
  <c r="C18" i="8" s="1"/>
  <c r="K14" i="6"/>
  <c r="C14" i="8" s="1"/>
  <c r="K15" i="6"/>
  <c r="C15" i="8" s="1"/>
  <c r="K12" i="6"/>
  <c r="C12" i="8" s="1"/>
  <c r="K26" i="6"/>
  <c r="C26" i="8" s="1"/>
  <c r="O28" i="9" l="1"/>
  <c r="H29" i="6"/>
  <c r="P19" i="9" l="1"/>
  <c r="P22" i="9"/>
  <c r="P11" i="9"/>
  <c r="P13" i="9"/>
  <c r="P17" i="9"/>
  <c r="P10" i="9"/>
  <c r="P21" i="9"/>
  <c r="P18" i="9"/>
  <c r="P9" i="9"/>
  <c r="P25" i="9"/>
  <c r="P20" i="9"/>
  <c r="P16" i="9"/>
  <c r="P15" i="9"/>
  <c r="P14" i="9"/>
  <c r="P12" i="9"/>
  <c r="P26" i="9"/>
  <c r="P24" i="9"/>
  <c r="P27" i="9"/>
  <c r="P23" i="9"/>
  <c r="P8" i="9"/>
  <c r="F29" i="6"/>
  <c r="D29" i="6"/>
  <c r="B29" i="6"/>
  <c r="Q15" i="9" l="1"/>
  <c r="R15" i="9"/>
  <c r="S15" i="9" s="1"/>
  <c r="Q17" i="9"/>
  <c r="R17" i="9"/>
  <c r="S17" i="9" s="1"/>
  <c r="R8" i="9"/>
  <c r="S8" i="9" s="1"/>
  <c r="P28" i="9"/>
  <c r="Q8" i="9"/>
  <c r="Q26" i="9"/>
  <c r="R26" i="9"/>
  <c r="S26" i="9" s="1"/>
  <c r="R16" i="9"/>
  <c r="S16" i="9" s="1"/>
  <c r="Q16" i="9"/>
  <c r="R18" i="9"/>
  <c r="S18" i="9" s="1"/>
  <c r="Q18" i="9"/>
  <c r="R13" i="9"/>
  <c r="S13" i="9" s="1"/>
  <c r="Q13" i="9"/>
  <c r="Q9" i="9"/>
  <c r="R9" i="9"/>
  <c r="S9" i="9" s="1"/>
  <c r="R12" i="9"/>
  <c r="S12" i="9" s="1"/>
  <c r="Q12" i="9"/>
  <c r="Q20" i="9"/>
  <c r="R20" i="9"/>
  <c r="S20" i="9" s="1"/>
  <c r="Q21" i="9"/>
  <c r="R21" i="9"/>
  <c r="S21" i="9" s="1"/>
  <c r="R11" i="9"/>
  <c r="S11" i="9" s="1"/>
  <c r="Q11" i="9"/>
  <c r="Q24" i="9"/>
  <c r="R24" i="9"/>
  <c r="S24" i="9" s="1"/>
  <c r="Q19" i="9"/>
  <c r="R19" i="9"/>
  <c r="S19" i="9" s="1"/>
  <c r="Q23" i="9"/>
  <c r="R23" i="9"/>
  <c r="S23" i="9" s="1"/>
  <c r="Q27" i="9"/>
  <c r="R27" i="9"/>
  <c r="S27" i="9" s="1"/>
  <c r="R14" i="9"/>
  <c r="S14" i="9" s="1"/>
  <c r="Q14" i="9"/>
  <c r="Q25" i="9"/>
  <c r="R25" i="9"/>
  <c r="S25" i="9" s="1"/>
  <c r="Q10" i="9"/>
  <c r="R10" i="9"/>
  <c r="S10" i="9" s="1"/>
  <c r="Q22" i="9"/>
  <c r="R22" i="9"/>
  <c r="S22" i="9" s="1"/>
  <c r="B29" i="5"/>
  <c r="S28" i="9" l="1"/>
  <c r="Q28" i="9"/>
  <c r="K9" i="6" l="1"/>
  <c r="K29" i="6" s="1"/>
  <c r="C9" i="8" l="1"/>
  <c r="J18" i="6"/>
  <c r="J15" i="6"/>
  <c r="J23" i="6"/>
  <c r="J17" i="6"/>
  <c r="J12" i="6"/>
  <c r="J14" i="6"/>
  <c r="J24" i="6"/>
  <c r="J22" i="6"/>
  <c r="J19" i="6"/>
  <c r="J21" i="6"/>
  <c r="J13" i="6"/>
  <c r="J25" i="6"/>
  <c r="J28" i="6"/>
  <c r="J10" i="6"/>
  <c r="J27" i="6"/>
  <c r="J20" i="6"/>
  <c r="J11" i="6"/>
  <c r="J16" i="6"/>
  <c r="J26" i="6"/>
  <c r="J9" i="6"/>
  <c r="C29" i="8" l="1"/>
  <c r="J29" i="6"/>
  <c r="K25" i="5"/>
  <c r="K27" i="5"/>
  <c r="K19" i="5"/>
  <c r="K24" i="5"/>
  <c r="K22" i="5"/>
  <c r="K26" i="5"/>
  <c r="K18" i="5"/>
  <c r="K16" i="5"/>
  <c r="K15" i="5"/>
  <c r="K23" i="5"/>
  <c r="B23" i="8" s="1"/>
  <c r="D23" i="8" s="1"/>
  <c r="K11" i="5"/>
  <c r="K21" i="5"/>
  <c r="K13" i="5"/>
  <c r="B13" i="8" s="1"/>
  <c r="D13" i="8" s="1"/>
  <c r="K17" i="5"/>
  <c r="K10" i="5"/>
  <c r="B10" i="8" s="1"/>
  <c r="D10" i="8" s="1"/>
  <c r="K20" i="5"/>
  <c r="B20" i="8" s="1"/>
  <c r="D20" i="8" s="1"/>
  <c r="K9" i="5"/>
  <c r="K12" i="5"/>
  <c r="B22" i="8" l="1"/>
  <c r="D22" i="8" s="1"/>
  <c r="B9" i="8"/>
  <c r="B17" i="8"/>
  <c r="D17" i="8" s="1"/>
  <c r="B16" i="8"/>
  <c r="D16" i="8" s="1"/>
  <c r="B24" i="8"/>
  <c r="D24" i="8" s="1"/>
  <c r="B26" i="8"/>
  <c r="D26" i="8" s="1"/>
  <c r="B19" i="8"/>
  <c r="D19" i="8" s="1"/>
  <c r="B11" i="8"/>
  <c r="D11" i="8" s="1"/>
  <c r="B15" i="8"/>
  <c r="D15" i="8" s="1"/>
  <c r="B25" i="8"/>
  <c r="D25" i="8" s="1"/>
  <c r="B12" i="8"/>
  <c r="D12" i="8" s="1"/>
  <c r="K28" i="5"/>
  <c r="B27" i="8"/>
  <c r="D27" i="8" s="1"/>
  <c r="B18" i="8"/>
  <c r="D18" i="8" s="1"/>
  <c r="K14" i="5"/>
  <c r="B21" i="8"/>
  <c r="D21" i="8" s="1"/>
  <c r="K29" i="5" l="1"/>
  <c r="J27" i="5" s="1"/>
  <c r="B14" i="8"/>
  <c r="D14" i="8" s="1"/>
  <c r="B28" i="8"/>
  <c r="D28" i="8" s="1"/>
  <c r="D9" i="8"/>
  <c r="J10" i="5" l="1"/>
  <c r="J13" i="5"/>
  <c r="B29" i="8"/>
  <c r="J16" i="5"/>
  <c r="J23" i="5"/>
  <c r="J21" i="5"/>
  <c r="J28" i="5"/>
  <c r="J14" i="5"/>
  <c r="J24" i="5"/>
  <c r="J20" i="5"/>
  <c r="J15" i="5"/>
  <c r="J22" i="5"/>
  <c r="J12" i="5"/>
  <c r="J26" i="5"/>
  <c r="J19" i="5"/>
  <c r="J17" i="5"/>
  <c r="J18" i="5"/>
  <c r="J9" i="5"/>
  <c r="J11" i="5"/>
  <c r="J25" i="5"/>
  <c r="D29" i="8"/>
  <c r="J29" i="5" l="1"/>
</calcChain>
</file>

<file path=xl/sharedStrings.xml><?xml version="1.0" encoding="utf-8"?>
<sst xmlns="http://schemas.openxmlformats.org/spreadsheetml/2006/main" count="486" uniqueCount="244">
  <si>
    <t>MUNICIPIOS</t>
  </si>
  <si>
    <t>TOTAL</t>
  </si>
  <si>
    <t>ACAPONETA</t>
  </si>
  <si>
    <t>AHUACATLAN</t>
  </si>
  <si>
    <t>AMATLAN DE CAÑAS</t>
  </si>
  <si>
    <t>BAHIA DE BANDERAS</t>
  </si>
  <si>
    <t>COMPOSTELA</t>
  </si>
  <si>
    <t>EL NAYAR</t>
  </si>
  <si>
    <t>HUAJICORI</t>
  </si>
  <si>
    <t>IXTLAN DEL RIO</t>
  </si>
  <si>
    <t>JALA</t>
  </si>
  <si>
    <t>LA YESCA</t>
  </si>
  <si>
    <t>ROSAMORADA</t>
  </si>
  <si>
    <t>RUIZ</t>
  </si>
  <si>
    <t>SAN BLAS</t>
  </si>
  <si>
    <t>SANTA MARIA DEL ORO</t>
  </si>
  <si>
    <t>SANTIAGO IXCUINTLA</t>
  </si>
  <si>
    <t>TECUALA</t>
  </si>
  <si>
    <t>TEPIC</t>
  </si>
  <si>
    <t>TUXPAN</t>
  </si>
  <si>
    <t>XALISCO</t>
  </si>
  <si>
    <t>TOTAL DE PARTICIPACIONES FEDERALES DEFINITIVAS</t>
  </si>
  <si>
    <t>SALDO TOTAL</t>
  </si>
  <si>
    <t>FONDO GENERAL DE PARTICIPACIONES</t>
  </si>
  <si>
    <t>FONDO DE FOMENTO MUNICIPAL</t>
  </si>
  <si>
    <t>SAN PEDRO LAGUNILLAS</t>
  </si>
  <si>
    <t>GOBIERNO DEL ESTADO DE NAYARIT</t>
  </si>
  <si>
    <t>SECRETARIA DE ADMINISTRACION Y FINANZAS</t>
  </si>
  <si>
    <t>SUBSECRETARIA DE INGRESOS</t>
  </si>
  <si>
    <t>ANEXO VI</t>
  </si>
  <si>
    <t>FONDO GENERAL DEPARTICIPACIONES</t>
  </si>
  <si>
    <t>PORCENTAJE</t>
  </si>
  <si>
    <t>MONTO</t>
  </si>
  <si>
    <t>ANEXO IV</t>
  </si>
  <si>
    <t>ANEXO V</t>
  </si>
  <si>
    <t>TOTAL DE PARTICIPACIONES FEDERALES PROVISIONALES</t>
  </si>
  <si>
    <t>Las cifras pueden no coincidir debido al redondeo.</t>
  </si>
  <si>
    <t>COEFICIENTE 1</t>
  </si>
  <si>
    <t>COEFICIENTE 2</t>
  </si>
  <si>
    <t>COEFCIENTE 3</t>
  </si>
  <si>
    <t>Total</t>
  </si>
  <si>
    <t>SUMA DE COEFICIENTES  EFECTIVOS  PARA 2018</t>
  </si>
  <si>
    <t>Población</t>
  </si>
  <si>
    <t xml:space="preserve">Coeficiente </t>
  </si>
  <si>
    <t>(8)(7=8/∑8)100</t>
  </si>
  <si>
    <t>Coeficiente</t>
  </si>
  <si>
    <t>Suma de Asignaciones</t>
  </si>
  <si>
    <t>Inversa Proporcional</t>
  </si>
  <si>
    <t>Absoluta</t>
  </si>
  <si>
    <t>Relativa</t>
  </si>
  <si>
    <t>(1)</t>
  </si>
  <si>
    <t>(2)(1=2/∑2)100</t>
  </si>
  <si>
    <t>(3)</t>
  </si>
  <si>
    <t>(4)</t>
  </si>
  <si>
    <t>(5)</t>
  </si>
  <si>
    <t>(6)</t>
  </si>
  <si>
    <t>(7)</t>
  </si>
  <si>
    <t>(8)</t>
  </si>
  <si>
    <t>(9)</t>
  </si>
  <si>
    <t>(10)</t>
  </si>
  <si>
    <t>(11)</t>
  </si>
  <si>
    <t>(12)</t>
  </si>
  <si>
    <t>(13)</t>
  </si>
  <si>
    <t>(15)</t>
  </si>
  <si>
    <t>(16)</t>
  </si>
  <si>
    <t>(17) = (4+10+16)</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</si>
  <si>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</si>
  <si>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</si>
  <si>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</si>
  <si>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</si>
  <si>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</si>
  <si>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</si>
  <si>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</si>
  <si>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</si>
  <si>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</si>
  <si>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</si>
  <si>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</si>
  <si>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</si>
  <si>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</si>
  <si>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</si>
  <si>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</si>
  <si>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</si>
  <si>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</si>
  <si>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</si>
  <si>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</si>
  <si>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</si>
  <si>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</si>
  <si>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Las cifras pueden no coincidir por el redondeo</t>
  </si>
  <si>
    <t>Municipios</t>
  </si>
  <si>
    <t>Total Distribucion</t>
  </si>
  <si>
    <t xml:space="preserve">No. de </t>
  </si>
  <si>
    <t>%</t>
  </si>
  <si>
    <t>del crecimiento</t>
  </si>
  <si>
    <t>35%</t>
  </si>
  <si>
    <t>del F.F.M.</t>
  </si>
  <si>
    <t>(2)</t>
  </si>
  <si>
    <t>(3= 70%/2 x 2)</t>
  </si>
  <si>
    <t>(6=70%/2*5)</t>
  </si>
  <si>
    <t>(7) = (3+6)</t>
  </si>
  <si>
    <t>(13=5+8+11)</t>
  </si>
  <si>
    <t>determinado</t>
  </si>
  <si>
    <t>corregido</t>
  </si>
  <si>
    <t>diferencia</t>
  </si>
  <si>
    <t>PUBLICADO</t>
  </si>
  <si>
    <t>DIFERENCIA</t>
  </si>
  <si>
    <t>PIBLICADO</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</si>
  <si>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</si>
  <si>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</si>
  <si>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</si>
  <si>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</si>
  <si>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</si>
  <si>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</si>
  <si>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</si>
  <si>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</si>
  <si>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</si>
  <si>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</si>
  <si>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(70%)</t>
  </si>
  <si>
    <t>2015 (70%)</t>
  </si>
  <si>
    <t>en 2015</t>
  </si>
  <si>
    <t>2015-2014</t>
  </si>
  <si>
    <t>(6=3+4)</t>
  </si>
  <si>
    <t xml:space="preserve">Recaudacion Predial y Agua </t>
  </si>
  <si>
    <t>Esfuerzo Recaudatorio</t>
  </si>
  <si>
    <t xml:space="preserve">Población </t>
  </si>
  <si>
    <t>Resultado</t>
  </si>
  <si>
    <t xml:space="preserve">Coeficiente de </t>
  </si>
  <si>
    <t xml:space="preserve">Variación por </t>
  </si>
  <si>
    <t>Ultimo Ejercicio</t>
  </si>
  <si>
    <t>(4) = (2*3)</t>
  </si>
  <si>
    <t>(5=(4/∑4)100)</t>
  </si>
  <si>
    <t>modificado</t>
  </si>
  <si>
    <t>Recaudación Federal Participable Aplicable para el Calculo de las Participaciones a los Municipios</t>
  </si>
  <si>
    <t>Mes de:                          Enero             2018</t>
  </si>
  <si>
    <t>CONCEPTO</t>
  </si>
  <si>
    <t>IMPORTE</t>
  </si>
  <si>
    <t xml:space="preserve">Fondo General de Participaciones </t>
  </si>
  <si>
    <t>Fondo General de Participaciones recibido en la Entidad 2018</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</si>
  <si>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</si>
  <si>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</si>
  <si>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</si>
  <si>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</si>
  <si>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Fondo General de Participaciones crecimiento 2017 (3-4)</t>
  </si>
  <si>
    <t>6.1 Primera parte 60% del crecimiento 2018</t>
  </si>
  <si>
    <t>6.2 Segunda parte 30% del crecimiento 2018</t>
  </si>
  <si>
    <t>6.3 Tercera parte 10% del crecimiento 2018</t>
  </si>
  <si>
    <t>Suma (6.1 + 6.2 + 6.3) = (3)</t>
  </si>
  <si>
    <t>Total Fondo General de Participaciones a distribuir en 2015 (3 + 4)</t>
  </si>
  <si>
    <t>Fondo de Fomento Municipal</t>
  </si>
  <si>
    <t>Fondo de Fomento Municipal recibido en la Entidad 2018</t>
  </si>
  <si>
    <t>Fondo de Fomento Municipal base 2014 (recibido y distribuido en el 2014)</t>
  </si>
  <si>
    <t>Crecimiento del Fondo de Fomento Municipal 2018 (1-2)</t>
  </si>
  <si>
    <t>Fondo de Fomento Municipal base de Distribución (3 x 100%)</t>
  </si>
  <si>
    <t>10.1 Primera parte 70% del crecimiento 2018</t>
  </si>
  <si>
    <t>10.2 SEGUNDA PARTE DEL CRECIMIENTO 30%</t>
  </si>
  <si>
    <t>Total Fondo  de Fomento  Municipal</t>
  </si>
  <si>
    <t>Fondo de Fiscalización y Recaudación</t>
  </si>
  <si>
    <t>Fondo de Fiscalizacion recibido en la Entidad 2018</t>
  </si>
  <si>
    <t>Fondo de Fiscalización base 2014 (recibido y distribuido en el 2014)</t>
  </si>
  <si>
    <t>Crecimiento del Fondo de Fiscalizacion en 2018 (9-10)</t>
  </si>
  <si>
    <t>Fondo de Compensacion</t>
  </si>
  <si>
    <t>Fondo de Compensacion recibido en la Entidad 2018</t>
  </si>
  <si>
    <t>Fondo de Fiscalización base 2018(recibido y distribuido en el 2014)</t>
  </si>
  <si>
    <t>Crecimiento del Fondo de Compensación en 2018 (12-13)</t>
  </si>
  <si>
    <t xml:space="preserve">Fondo del Impuesto sobre la Renta </t>
  </si>
  <si>
    <t>Fondo de Impuesto sobre la renta recibido en la Entidad 2018</t>
  </si>
  <si>
    <t>Fondo de Impuesto sobre la renta 2014 (recibido y distribuido en el 2014)</t>
  </si>
  <si>
    <t>Crecimiento del Fondo de ISR 2018 (15-16)</t>
  </si>
  <si>
    <t>Impuesto especial sobre producción y servicios (Tabaco y Alcohol)</t>
  </si>
  <si>
    <t>Impuesto Especial s/Producción y Servicios  recibido en la Entidad 2018</t>
  </si>
  <si>
    <t>Impuesto Especial s/Produccion y Servicios base (2014 (recibido y distribuido en el 2014)</t>
  </si>
  <si>
    <t>Crecimiento del Impuesto Especial s/Producción y Servicios en 2018(18-19)</t>
  </si>
  <si>
    <t>Impuesto especial sobre producción y servicios por Gasolina y Diesel</t>
  </si>
  <si>
    <t>Impuesto Especial s/Producción y Servicios  (G y D)recibido en la Entidad 2018</t>
  </si>
  <si>
    <t>Crecimiento del Impuesto Especial s/Producción y Servicios en 2018 (21-22)</t>
  </si>
  <si>
    <t>Impuesto sobre Automoviles Nuevos ISAN (incluye foco ISAN)</t>
  </si>
  <si>
    <t>Impuesto sobre automóviles nuevos ISAN, recibido en la Entidad 2018</t>
  </si>
  <si>
    <t>Impuesto sobre automoviles nuevos base 2014 (recibido y distribuido en el 2014)</t>
  </si>
  <si>
    <t>Crecimiento del Impuesto sobre Automóviles Nuevos ISAN en 2018(24-25)</t>
  </si>
  <si>
    <t>Impuesto sobre Automoviles Nuevos ISAN</t>
  </si>
  <si>
    <t xml:space="preserve">Impuesto sobre automóviles nuevos ISAN, recibido en la Entidad 2018 </t>
  </si>
  <si>
    <t>Impuesto sobre automoviles</t>
  </si>
  <si>
    <t xml:space="preserve"> Primera parte 60% del crecimiento 2018</t>
  </si>
  <si>
    <t xml:space="preserve"> Segunda parte 30% del crecimiento 2018</t>
  </si>
  <si>
    <t xml:space="preserve"> Tercera parte 10% del crecimiento 2018</t>
  </si>
  <si>
    <t>Suma  (3)</t>
  </si>
  <si>
    <t>Fondo de Compensacion sobre el ISAN</t>
  </si>
  <si>
    <t>Fondo de Compensacion sobre el ISAN, recibido en la Entidad 2018</t>
  </si>
  <si>
    <r>
      <rPr>
        <b/>
        <sz val="11"/>
        <color theme="1"/>
        <rFont val="Arial"/>
        <family val="2"/>
      </rPr>
      <t>Población:</t>
    </r>
    <r>
      <rPr>
        <sz val="11"/>
        <color theme="1"/>
        <rFont val="Arial"/>
        <family val="2"/>
      </rPr>
      <t xml:space="preserve"> Encuesta intercensal 2015.</t>
    </r>
  </si>
  <si>
    <t xml:space="preserve">ACAPONETA </t>
  </si>
  <si>
    <t>BAHÍA DE BANDERAS</t>
  </si>
  <si>
    <t>DEL NAYAR</t>
  </si>
  <si>
    <t>SAN PEDRO LAG.</t>
  </si>
  <si>
    <t>STA. MARIA DEL ORO</t>
  </si>
  <si>
    <t>fuente:</t>
  </si>
  <si>
    <t>Encuesta Intercensal 2015 Publicada en el Portal del INEGI 08 de Dic 2015</t>
  </si>
  <si>
    <t>Predial y Agua</t>
  </si>
  <si>
    <t xml:space="preserve"> Rec. de Predial y Agua</t>
  </si>
  <si>
    <t>x Población</t>
  </si>
  <si>
    <t>Distribución</t>
  </si>
  <si>
    <t>Habitantes</t>
  </si>
  <si>
    <t>Efectivo</t>
  </si>
  <si>
    <t>Correspondiente al 60% del Crecimiento</t>
  </si>
  <si>
    <t>Coeficiente de Participación</t>
  </si>
  <si>
    <t>Recaudación del Impuesto Predial y Derechos de Suministro de Agua</t>
  </si>
  <si>
    <t xml:space="preserve">Coeficiente de Partición </t>
  </si>
  <si>
    <t xml:space="preserve">Efectivo </t>
  </si>
  <si>
    <t>Correspondiente al 30% del Crecimiento</t>
  </si>
  <si>
    <t>Porcentaje que representa los Coeficiente C1 Y C2</t>
  </si>
  <si>
    <t>Coeficiente  Resarcitorio Efectivo       10%</t>
  </si>
  <si>
    <t>Correspondiente al 10% del Crecimiento</t>
  </si>
  <si>
    <t>Información Utilizada para la Determinación de los Porcentajes de Distribución de Participaciones</t>
  </si>
  <si>
    <t>Recaudación Predial y Agua ($)</t>
  </si>
  <si>
    <t>Municipio</t>
  </si>
  <si>
    <t>Predial</t>
  </si>
  <si>
    <t>Agua</t>
  </si>
  <si>
    <t>PORCENTAJES Y MONTOS DE PARTIPACIONES FEDERALES PROVISIONALES MINISTRADAS A LOS MUNICIPIOS PARA EL EJERCICIO FISCAL 2021</t>
  </si>
  <si>
    <t>PORCENTAJES Y MONTOS DE PARCIPACIONES FEDERALES DEFINITIVAS CORRESPONDIENTES A LOS MUNICIPIOS PARA EL EJERCICIO FISCAL 2021</t>
  </si>
  <si>
    <t>SALDOS DERIVADOS DEL AJUSTE DE PARTICIPACIONES FEDERALES DEL EJERCICIO FISCAL 2021</t>
  </si>
  <si>
    <t>Cálculo de la Distribución del Ajuste Definitivo 2021 del Fondo General de Participaciones</t>
  </si>
  <si>
    <t xml:space="preserve">Cálculo de la Distribución del Ajuste Definitivo 2021 del Fondo de Fomento Municipal </t>
  </si>
  <si>
    <t>Cálculo de la Distribución del Ajuste Definitivo 2021 del Impuesto Especial Sobre Producción y Servicios</t>
  </si>
  <si>
    <t>poblacion                                2020</t>
  </si>
  <si>
    <t xml:space="preserve"> Encuesta Intercensal  de Población y Vivienda  2020</t>
  </si>
  <si>
    <t>Ajuste Definitivo 2021</t>
  </si>
  <si>
    <t xml:space="preserve">Cálculo de la Distribución del Ajuste Definitivo 2021 del Fondo de Fiscalización y Recaudación </t>
  </si>
  <si>
    <r>
      <rPr>
        <b/>
        <sz val="11"/>
        <color theme="1"/>
        <rFont val="Arial"/>
        <family val="2"/>
      </rPr>
      <t>Fuente:</t>
    </r>
    <r>
      <rPr>
        <sz val="11"/>
        <color theme="1"/>
        <rFont val="Arial"/>
        <family val="2"/>
      </rPr>
      <t xml:space="preserve"> Aviso de pago de participaciones oficio No. 351-A-DGPA-C-2571    UCEF</t>
    </r>
  </si>
  <si>
    <r>
      <rPr>
        <b/>
        <sz val="11"/>
        <color theme="1"/>
        <rFont val="Arial"/>
        <family val="2"/>
      </rPr>
      <t>Fuente:</t>
    </r>
    <r>
      <rPr>
        <sz val="11"/>
        <color theme="1"/>
        <rFont val="Arial"/>
        <family val="2"/>
      </rPr>
      <t xml:space="preserve"> Aviso de pago de participaciones oficio No. 351-A-DGPA-C-2571  UCEF</t>
    </r>
  </si>
  <si>
    <r>
      <rPr>
        <b/>
        <sz val="11"/>
        <color theme="1"/>
        <rFont val="Arial"/>
        <family val="2"/>
      </rPr>
      <t xml:space="preserve">Fuente: </t>
    </r>
    <r>
      <rPr>
        <sz val="11"/>
        <color theme="1"/>
        <rFont val="Arial"/>
        <family val="2"/>
      </rPr>
      <t>Aviso de pago de participaciones Oficio No. 351-A-DGPA-C-2774 UCEF</t>
    </r>
  </si>
  <si>
    <t>De conformidad al acuerdo 02/2014 por lo que se expiden los lineamientos para la publicación a que se refiere el artículo 6o. de la Ley de Coordinación Fiscal, numeral III inciso e).</t>
  </si>
  <si>
    <t>La diferencia de FOFIR del cuarto trimestre 2021 se participo en el mes de enero del 2022 . El Tercer Ajuste Cuatrimestral 2021 se participó en el mes de Febrero de 2022.</t>
  </si>
  <si>
    <t xml:space="preserve">De conformidad al acuerdo 02/2014 por lo que se expiden los lineamientos para la publicación a que se refiere el artículo 6o. de la Ley de Coordinación Fiscal, numeral III inciso e). </t>
  </si>
  <si>
    <t>El Ajuste Definitivo 2021 correspondiente al  FGP (-), FFM(-), IEPS(+) se participó en el mes de mayo 2022 y FOFIR (-) en el mes de junio 2022.</t>
  </si>
  <si>
    <t>De conformidad al Acuedo 02/2014 por lo que se expiden los lineamientos para la apublicación a que se refiere el articulo 6 de la Ley de Coordinación Fiscal, numeral III inciso e)</t>
  </si>
  <si>
    <t>Censo 2020</t>
  </si>
  <si>
    <t>Distribución correspondiente al Ajuste Definitivo 2021</t>
  </si>
  <si>
    <t>Total a Distribuir del Ajuste Definitivo 2021</t>
  </si>
  <si>
    <t>Distribución Total del Ajuste Definitivo 2021 del IEPS</t>
  </si>
  <si>
    <t>Factor de Distribución 2021</t>
  </si>
  <si>
    <t>El Tercer Ajuste Cuatrimestral 2021 se participó en el mes de Febrero de 2022, y el Ajuste Definitivo 2021 para el FFM e IEPS se participo en el mes de mayo. Respecto al ajuste negativo del FGP se descontará del anticipo del mes de junio 2022. El ajuste definitivo negativo del FOFIR se descontará de la participación estimada del mes de junio 2022.</t>
  </si>
  <si>
    <t>Distribución del Ajuste Definitivo 2021</t>
  </si>
  <si>
    <t xml:space="preserve">Participación </t>
  </si>
  <si>
    <t>IMPUESTO ESPECIAL SOBRE PRODUCCIÓN Y SERVICIOS</t>
  </si>
  <si>
    <t>FONDO DE FISCALIZACIÓN Y RECAUDACIÓN</t>
  </si>
  <si>
    <t>Porcentaje que representa la Inversa Proporcional         (14)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</si>
</sst>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164" formatCode="_-[$€-2]* #,##0.00_-;\-[$€-2]* #,##0.00_-;_-[$€-2]* &quot;-&quot;??_-"/>
    <numFmt numFmtId="165" formatCode="#,##0.000000"/>
    <numFmt numFmtId="166" formatCode="0.000000"/>
    <numFmt numFmtId="167" formatCode="#,##0_ ;\-#,##0\ "/>
    <numFmt numFmtId="168" formatCode="#,##0.0000000"/>
    <numFmt numFmtId="169" formatCode="&quot;$&quot;#,##0.00"/>
    <numFmt numFmtId="170" formatCode="#,##0.00000000"/>
  </numFmts>
  <fonts count="26" x14ac:knownFonts="1">
    <font>
      <sz val="12"/>
      <color theme="1"/>
      <name val="Arial"/>
      <family val="2"/>
    </font>
    <font>
      <sz val="11"/>
      <color theme="1"/>
      <name val="Calibri"/>
      <family val="2"/>
      <scheme val="minor"/>
    </font>
    <font>
      <sz val="10"/>
      <name val="Arial"/>
      <family val="2"/>
    </font>
    <font>
      <sz val="10"/>
      <name val="Arial"/>
      <family val="2"/>
    </font>
    <font>
      <b/>
      <sz val="11"/>
      <color theme="1"/>
      <name val="Calibri"/>
      <family val="2"/>
      <scheme val="minor"/>
    </font>
    <font>
      <sz val="11"/>
      <color theme="1"/>
      <name val="Arial"/>
      <family val="2"/>
    </font>
    <font>
      <sz val="11"/>
      <name val="Arial"/>
      <family val="2"/>
    </font>
    <font>
      <b/>
      <sz val="11"/>
      <color theme="1"/>
      <name val="Arial"/>
      <family val="2"/>
    </font>
    <font>
      <b/>
      <sz val="10"/>
      <color theme="1"/>
      <name val="Arial"/>
      <family val="2"/>
    </font>
    <font>
      <sz val="10"/>
      <color theme="1"/>
      <name val="Arial"/>
      <family val="2"/>
    </font>
    <font>
      <b/>
      <sz val="13"/>
      <name val="Arial"/>
      <family val="2"/>
    </font>
    <font>
      <b/>
      <sz val="12"/>
      <name val="Arial"/>
      <family val="2"/>
    </font>
    <font>
      <b/>
      <sz val="11"/>
      <name val="Arial"/>
      <family val="2"/>
    </font>
    <font>
      <sz val="12"/>
      <color theme="1"/>
      <name val="Arial"/>
      <family val="2"/>
    </font>
    <font>
      <b/>
      <sz val="12"/>
      <color theme="1"/>
      <name val="Arial"/>
      <family val="2"/>
    </font>
    <font>
      <b/>
      <sz val="9"/>
      <color theme="1"/>
      <name val="Arial"/>
      <family val="2"/>
    </font>
    <font>
      <sz val="9"/>
      <color theme="1"/>
      <name val="Calibri"/>
      <family val="2"/>
      <scheme val="minor"/>
    </font>
    <font>
      <b/>
      <sz val="9"/>
      <color theme="1"/>
      <name val="Calibri"/>
      <family val="2"/>
      <scheme val="minor"/>
    </font>
    <font>
      <i/>
      <sz val="9"/>
      <color theme="1"/>
      <name val="Arial"/>
      <family val="2"/>
    </font>
    <font>
      <sz val="9"/>
      <color theme="1"/>
      <name val="Arial"/>
      <family val="2"/>
    </font>
    <font>
      <sz val="11"/>
      <color theme="3"/>
      <name val="Arial"/>
      <family val="2"/>
    </font>
    <font>
      <b/>
      <sz val="8"/>
      <color theme="1"/>
      <name val="Arial"/>
      <family val="2"/>
    </font>
    <font>
      <sz val="10"/>
      <color rgb="FF000000"/>
      <name val="Arial"/>
      <family val="2"/>
    </font>
    <font>
      <sz val="11"/>
      <color rgb="FF000000"/>
      <name val="Arial"/>
      <family val="2"/>
    </font>
    <font>
      <sz val="8"/>
      <color theme="1"/>
      <name val="Arial"/>
      <family val="2"/>
    </font>
    <font>
      <b/>
      <sz val="12"/>
      <color rgb="FFFF000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s>
  <borders count="6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s>
  <cellStyleXfs count="11">
    <xf numFmtId="0" fontId="0" fillId="0" borderId="0"/>
    <xf numFmtId="0" fontId="2"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2" fillId="0" borderId="0" applyFont="0" applyFill="0" applyBorder="0" applyAlignment="0" applyProtection="0"/>
    <xf numFmtId="0" fontId="1" fillId="0" borderId="0"/>
    <xf numFmtId="44" fontId="1" fillId="0" borderId="0" applyFont="0" applyFill="0" applyBorder="0" applyAlignment="0" applyProtection="0"/>
    <xf numFmtId="0" fontId="13" fillId="0" borderId="0"/>
    <xf numFmtId="0" fontId="2" fillId="0" borderId="0"/>
    <xf numFmtId="9" fontId="2" fillId="0" borderId="0" applyFont="0" applyFill="0" applyBorder="0" applyAlignment="0" applyProtection="0"/>
  </cellStyleXfs>
  <cellXfs count="462">
    <xf numFmtId="0" fontId="0" fillId="0" borderId="0" xfId="0"/>
    <xf numFmtId="0" fontId="5" fillId="0" borderId="0" xfId="0" applyFont="1"/>
    <xf numFmtId="0" fontId="6" fillId="0" borderId="6" xfId="3" applyFont="1" applyBorder="1" applyAlignment="1">
      <alignment vertical="center"/>
    </xf>
    <xf numFmtId="0" fontId="6" fillId="0" borderId="12" xfId="3" applyFont="1" applyBorder="1" applyAlignment="1">
      <alignment vertical="center"/>
    </xf>
    <xf numFmtId="0" fontId="6" fillId="0" borderId="9" xfId="3" applyFont="1" applyBorder="1" applyAlignment="1">
      <alignment vertical="center"/>
    </xf>
    <xf numFmtId="0" fontId="7" fillId="0" borderId="0" xfId="0" applyFont="1" applyAlignment="1">
      <alignment horizontal="right"/>
    </xf>
    <xf numFmtId="0" fontId="5" fillId="0" borderId="0" xfId="0" applyFont="1" applyAlignment="1">
      <alignment horizontal="center" vertical="center"/>
    </xf>
    <xf numFmtId="4" fontId="5" fillId="0" borderId="0" xfId="0" applyNumberFormat="1" applyFont="1"/>
    <xf numFmtId="10" fontId="5" fillId="0" borderId="0" xfId="0" applyNumberFormat="1" applyFont="1"/>
    <xf numFmtId="0" fontId="6" fillId="0" borderId="0" xfId="3" applyFont="1" applyBorder="1" applyAlignment="1">
      <alignment vertical="center"/>
    </xf>
    <xf numFmtId="4" fontId="5" fillId="0" borderId="0" xfId="0" applyNumberFormat="1" applyFont="1" applyBorder="1"/>
    <xf numFmtId="4" fontId="5" fillId="0" borderId="0" xfId="0" applyNumberFormat="1" applyFont="1" applyFill="1"/>
    <xf numFmtId="3" fontId="5" fillId="0" borderId="7" xfId="0" applyNumberFormat="1" applyFont="1" applyBorder="1"/>
    <xf numFmtId="3" fontId="5" fillId="0" borderId="2" xfId="0" applyNumberFormat="1" applyFont="1" applyBorder="1"/>
    <xf numFmtId="3" fontId="5" fillId="0" borderId="10" xfId="0" applyNumberFormat="1" applyFont="1" applyBorder="1"/>
    <xf numFmtId="3" fontId="5" fillId="0" borderId="8" xfId="0" applyNumberFormat="1" applyFont="1" applyBorder="1" applyAlignment="1">
      <alignment horizontal="right"/>
    </xf>
    <xf numFmtId="3" fontId="5" fillId="0" borderId="13" xfId="0" applyNumberFormat="1" applyFont="1" applyBorder="1" applyAlignment="1">
      <alignment horizontal="right"/>
    </xf>
    <xf numFmtId="3" fontId="5" fillId="0" borderId="11" xfId="0" applyNumberFormat="1" applyFont="1" applyBorder="1" applyAlignment="1">
      <alignment horizontal="right"/>
    </xf>
    <xf numFmtId="0" fontId="2" fillId="0" borderId="6" xfId="3" applyFont="1" applyBorder="1" applyAlignment="1">
      <alignment vertical="center"/>
    </xf>
    <xf numFmtId="165" fontId="9" fillId="0" borderId="7" xfId="0" applyNumberFormat="1" applyFont="1" applyBorder="1" applyAlignment="1">
      <alignment horizontal="center"/>
    </xf>
    <xf numFmtId="3" fontId="9" fillId="0" borderId="7" xfId="0" applyNumberFormat="1" applyFont="1" applyBorder="1"/>
    <xf numFmtId="165" fontId="9" fillId="0" borderId="7" xfId="0" applyNumberFormat="1" applyFont="1" applyFill="1" applyBorder="1" applyAlignment="1">
      <alignment horizontal="center"/>
    </xf>
    <xf numFmtId="3" fontId="9" fillId="0" borderId="7" xfId="0" applyNumberFormat="1" applyFont="1" applyFill="1" applyBorder="1"/>
    <xf numFmtId="3" fontId="9" fillId="0" borderId="8" xfId="0" applyNumberFormat="1" applyFont="1" applyBorder="1"/>
    <xf numFmtId="0" fontId="2" fillId="0" borderId="12" xfId="3" applyFont="1" applyBorder="1" applyAlignment="1">
      <alignment vertical="center"/>
    </xf>
    <xf numFmtId="165" fontId="9" fillId="0" borderId="2" xfId="0" applyNumberFormat="1" applyFont="1" applyBorder="1" applyAlignment="1">
      <alignment horizontal="center"/>
    </xf>
    <xf numFmtId="3" fontId="9" fillId="0" borderId="2" xfId="0" applyNumberFormat="1" applyFont="1" applyBorder="1"/>
    <xf numFmtId="165" fontId="9" fillId="0" borderId="2" xfId="0" applyNumberFormat="1" applyFont="1" applyFill="1" applyBorder="1" applyAlignment="1">
      <alignment horizontal="center"/>
    </xf>
    <xf numFmtId="3" fontId="9" fillId="0" borderId="2" xfId="0" applyNumberFormat="1" applyFont="1" applyFill="1" applyBorder="1"/>
    <xf numFmtId="3" fontId="9" fillId="0" borderId="13" xfId="0" applyNumberFormat="1" applyFont="1" applyBorder="1"/>
    <xf numFmtId="0" fontId="2" fillId="0" borderId="9" xfId="3" applyFont="1" applyBorder="1" applyAlignment="1">
      <alignment vertical="center"/>
    </xf>
    <xf numFmtId="165" fontId="9" fillId="0" borderId="10" xfId="0" applyNumberFormat="1" applyFont="1" applyBorder="1" applyAlignment="1">
      <alignment horizontal="center"/>
    </xf>
    <xf numFmtId="3" fontId="9" fillId="0" borderId="10" xfId="0" applyNumberFormat="1" applyFont="1" applyBorder="1"/>
    <xf numFmtId="165" fontId="9" fillId="0" borderId="10" xfId="0" applyNumberFormat="1" applyFont="1" applyFill="1" applyBorder="1" applyAlignment="1">
      <alignment horizontal="center"/>
    </xf>
    <xf numFmtId="3" fontId="9" fillId="0" borderId="10" xfId="0" applyNumberFormat="1" applyFont="1" applyFill="1" applyBorder="1"/>
    <xf numFmtId="3" fontId="9" fillId="0" borderId="11" xfId="0" applyNumberFormat="1" applyFont="1" applyBorder="1"/>
    <xf numFmtId="0" fontId="9" fillId="0" borderId="0" xfId="0" applyFont="1"/>
    <xf numFmtId="4" fontId="9" fillId="0" borderId="0" xfId="0" applyNumberFormat="1" applyFont="1"/>
    <xf numFmtId="0" fontId="2" fillId="0" borderId="0" xfId="3" applyFont="1" applyBorder="1" applyAlignment="1">
      <alignment vertical="center"/>
    </xf>
    <xf numFmtId="0" fontId="8" fillId="0" borderId="0" xfId="0" applyFont="1" applyBorder="1" applyAlignment="1"/>
    <xf numFmtId="4" fontId="9" fillId="0" borderId="0" xfId="0" applyNumberFormat="1" applyFont="1" applyBorder="1"/>
    <xf numFmtId="0" fontId="8" fillId="0" borderId="0" xfId="0" applyFont="1" applyAlignment="1"/>
    <xf numFmtId="0" fontId="9" fillId="0" borderId="0" xfId="0" applyFont="1" applyBorder="1"/>
    <xf numFmtId="0" fontId="8" fillId="0" borderId="0" xfId="0" applyFont="1" applyAlignment="1">
      <alignment horizontal="center"/>
    </xf>
    <xf numFmtId="0" fontId="8" fillId="0" borderId="0" xfId="0" applyFont="1" applyAlignment="1">
      <alignment horizontal="right"/>
    </xf>
    <xf numFmtId="0" fontId="2" fillId="0" borderId="27" xfId="3" applyFont="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3" xfId="0" applyFont="1" applyFill="1" applyBorder="1"/>
    <xf numFmtId="165" fontId="8" fillId="0" borderId="4" xfId="0" applyNumberFormat="1" applyFont="1" applyFill="1" applyBorder="1" applyAlignment="1">
      <alignment horizontal="center"/>
    </xf>
    <xf numFmtId="3" fontId="8" fillId="0" borderId="4" xfId="0" applyNumberFormat="1" applyFont="1" applyFill="1" applyBorder="1" applyAlignment="1">
      <alignment horizontal="center"/>
    </xf>
    <xf numFmtId="3" fontId="8" fillId="0" borderId="5" xfId="0" applyNumberFormat="1" applyFont="1" applyFill="1" applyBorder="1"/>
    <xf numFmtId="0" fontId="7" fillId="0" borderId="3" xfId="0" applyFont="1" applyFill="1" applyBorder="1"/>
    <xf numFmtId="3" fontId="7" fillId="0" borderId="4" xfId="0" applyNumberFormat="1" applyFont="1" applyFill="1" applyBorder="1" applyAlignment="1">
      <alignment horizontal="right"/>
    </xf>
    <xf numFmtId="3" fontId="7" fillId="0" borderId="5" xfId="0" applyNumberFormat="1" applyFont="1" applyFill="1" applyBorder="1" applyAlignment="1">
      <alignment horizontal="right"/>
    </xf>
    <xf numFmtId="0" fontId="5" fillId="0" borderId="0" xfId="6" applyFont="1"/>
    <xf numFmtId="0" fontId="1" fillId="0" borderId="0" xfId="6" applyAlignment="1">
      <alignment horizontal="center"/>
    </xf>
    <xf numFmtId="0" fontId="1" fillId="0" borderId="0" xfId="6"/>
    <xf numFmtId="0" fontId="7" fillId="0" borderId="0" xfId="6" applyFont="1" applyAlignment="1">
      <alignment horizontal="center"/>
    </xf>
    <xf numFmtId="0" fontId="7" fillId="0" borderId="35" xfId="6" applyFont="1" applyBorder="1" applyAlignment="1">
      <alignment horizontal="center" vertical="center" wrapText="1"/>
    </xf>
    <xf numFmtId="0" fontId="15" fillId="0" borderId="31" xfId="6" applyFont="1" applyFill="1" applyBorder="1" applyAlignment="1">
      <alignment horizontal="center"/>
    </xf>
    <xf numFmtId="0" fontId="15" fillId="0" borderId="35" xfId="6" applyFont="1" applyFill="1" applyBorder="1" applyAlignment="1">
      <alignment horizontal="center"/>
    </xf>
    <xf numFmtId="0" fontId="15" fillId="0" borderId="37" xfId="6" applyFont="1" applyFill="1" applyBorder="1" applyAlignment="1">
      <alignment horizontal="center"/>
    </xf>
    <xf numFmtId="0" fontId="15" fillId="0" borderId="39" xfId="6" applyFont="1" applyFill="1" applyBorder="1" applyAlignment="1">
      <alignment horizontal="center"/>
    </xf>
    <xf numFmtId="9" fontId="15" fillId="0" borderId="39" xfId="6" applyNumberFormat="1" applyFont="1" applyFill="1" applyBorder="1" applyAlignment="1">
      <alignment horizontal="center"/>
    </xf>
    <xf numFmtId="3" fontId="15" fillId="0" borderId="37" xfId="6" applyNumberFormat="1" applyFont="1" applyFill="1" applyBorder="1" applyAlignment="1">
      <alignment horizontal="center"/>
    </xf>
    <xf numFmtId="3" fontId="15" fillId="0" borderId="39" xfId="6" applyNumberFormat="1" applyFont="1" applyFill="1" applyBorder="1" applyAlignment="1">
      <alignment horizontal="center"/>
    </xf>
    <xf numFmtId="49" fontId="15" fillId="0" borderId="40" xfId="6" applyNumberFormat="1" applyFont="1" applyFill="1" applyBorder="1" applyAlignment="1">
      <alignment horizontal="center"/>
    </xf>
    <xf numFmtId="49" fontId="15" fillId="0" borderId="43" xfId="6" applyNumberFormat="1" applyFont="1" applyFill="1" applyBorder="1" applyAlignment="1">
      <alignment horizontal="center"/>
    </xf>
    <xf numFmtId="49" fontId="15" fillId="0" borderId="43" xfId="6" applyNumberFormat="1" applyFont="1" applyBorder="1" applyAlignment="1">
      <alignment horizontal="center" vertical="center" wrapText="1"/>
    </xf>
    <xf numFmtId="49" fontId="17" fillId="0" borderId="44" xfId="6" applyNumberFormat="1" applyFont="1" applyFill="1" applyBorder="1" applyAlignment="1">
      <alignment horizontal="center" vertical="center" wrapText="1"/>
    </xf>
    <xf numFmtId="0" fontId="15" fillId="0" borderId="43" xfId="6" applyFont="1" applyBorder="1" applyAlignment="1">
      <alignment vertical="center" wrapText="1"/>
    </xf>
    <xf numFmtId="0" fontId="13" fillId="0" borderId="45" xfId="6" applyFont="1" applyFill="1" applyBorder="1"/>
    <xf numFmtId="3" fontId="13" fillId="0" borderId="27" xfId="6" applyNumberFormat="1" applyFont="1" applyFill="1" applyBorder="1"/>
    <xf numFmtId="166" fontId="13" fillId="0" borderId="28" xfId="6" applyNumberFormat="1" applyFont="1" applyFill="1" applyBorder="1"/>
    <xf numFmtId="165" fontId="13" fillId="0" borderId="28" xfId="6" applyNumberFormat="1" applyFont="1" applyFill="1" applyBorder="1"/>
    <xf numFmtId="167" fontId="13" fillId="0" borderId="21" xfId="6" applyNumberFormat="1" applyFont="1" applyFill="1" applyBorder="1" applyAlignment="1">
      <alignment horizontal="right"/>
    </xf>
    <xf numFmtId="167" fontId="13" fillId="0" borderId="27" xfId="6" applyNumberFormat="1" applyFont="1" applyFill="1" applyBorder="1" applyAlignment="1">
      <alignment horizontal="right"/>
    </xf>
    <xf numFmtId="167" fontId="13" fillId="0" borderId="28" xfId="6" applyNumberFormat="1" applyFont="1" applyFill="1" applyBorder="1" applyAlignment="1">
      <alignment horizontal="right"/>
    </xf>
    <xf numFmtId="3" fontId="13" fillId="0" borderId="21" xfId="6" applyNumberFormat="1" applyFont="1" applyFill="1" applyBorder="1"/>
    <xf numFmtId="167" fontId="13" fillId="0" borderId="46" xfId="6" applyNumberFormat="1" applyFont="1" applyFill="1" applyBorder="1"/>
    <xf numFmtId="3" fontId="13" fillId="0" borderId="29" xfId="6" applyNumberFormat="1" applyFont="1" applyFill="1" applyBorder="1"/>
    <xf numFmtId="167" fontId="13" fillId="0" borderId="47" xfId="6" applyNumberFormat="1" applyFont="1" applyFill="1" applyBorder="1"/>
    <xf numFmtId="165" fontId="1" fillId="0" borderId="36" xfId="6" applyNumberFormat="1" applyFill="1" applyBorder="1"/>
    <xf numFmtId="3" fontId="1" fillId="0" borderId="0" xfId="6" applyNumberFormat="1" applyFill="1"/>
    <xf numFmtId="165" fontId="1" fillId="0" borderId="0" xfId="6" applyNumberFormat="1" applyFill="1"/>
    <xf numFmtId="0" fontId="1" fillId="0" borderId="0" xfId="6" applyFill="1"/>
    <xf numFmtId="166" fontId="13" fillId="0" borderId="2" xfId="6" applyNumberFormat="1" applyFont="1" applyFill="1" applyBorder="1"/>
    <xf numFmtId="167" fontId="13" fillId="0" borderId="36" xfId="6" applyNumberFormat="1" applyFont="1" applyFill="1" applyBorder="1"/>
    <xf numFmtId="0" fontId="13" fillId="0" borderId="48" xfId="6" applyFont="1" applyFill="1" applyBorder="1"/>
    <xf numFmtId="166" fontId="13" fillId="0" borderId="15" xfId="6" applyNumberFormat="1" applyFont="1" applyFill="1" applyBorder="1"/>
    <xf numFmtId="165" fontId="13" fillId="0" borderId="15" xfId="6" applyNumberFormat="1" applyFont="1" applyFill="1" applyBorder="1"/>
    <xf numFmtId="167" fontId="13" fillId="0" borderId="11" xfId="6" applyNumberFormat="1" applyFont="1" applyFill="1" applyBorder="1" applyAlignment="1">
      <alignment horizontal="right"/>
    </xf>
    <xf numFmtId="166" fontId="13" fillId="0" borderId="10" xfId="6" applyNumberFormat="1" applyFont="1" applyFill="1" applyBorder="1"/>
    <xf numFmtId="3" fontId="13" fillId="0" borderId="11" xfId="6" applyNumberFormat="1" applyFont="1" applyFill="1" applyBorder="1"/>
    <xf numFmtId="167" fontId="13" fillId="0" borderId="49" xfId="6" applyNumberFormat="1" applyFont="1" applyFill="1" applyBorder="1"/>
    <xf numFmtId="3" fontId="13" fillId="0" borderId="50" xfId="6" applyNumberFormat="1" applyFont="1" applyFill="1" applyBorder="1"/>
    <xf numFmtId="0" fontId="14" fillId="0" borderId="43" xfId="6" applyFont="1" applyFill="1" applyBorder="1"/>
    <xf numFmtId="3" fontId="14" fillId="0" borderId="50" xfId="6" applyNumberFormat="1" applyFont="1" applyFill="1" applyBorder="1"/>
    <xf numFmtId="166" fontId="14" fillId="0" borderId="19" xfId="6" applyNumberFormat="1" applyFont="1" applyFill="1" applyBorder="1"/>
    <xf numFmtId="167" fontId="14" fillId="0" borderId="43" xfId="6" applyNumberFormat="1" applyFont="1" applyFill="1" applyBorder="1" applyAlignment="1">
      <alignment horizontal="right"/>
    </xf>
    <xf numFmtId="166" fontId="14" fillId="0" borderId="40" xfId="6" applyNumberFormat="1" applyFont="1" applyFill="1" applyBorder="1"/>
    <xf numFmtId="165" fontId="14" fillId="0" borderId="43" xfId="6" applyNumberFormat="1" applyFont="1" applyFill="1" applyBorder="1"/>
    <xf numFmtId="3" fontId="14" fillId="0" borderId="43" xfId="6" applyNumberFormat="1" applyFont="1" applyFill="1" applyBorder="1"/>
    <xf numFmtId="167" fontId="14" fillId="0" borderId="43" xfId="6" applyNumberFormat="1" applyFont="1" applyFill="1" applyBorder="1"/>
    <xf numFmtId="165" fontId="14" fillId="0" borderId="40" xfId="6" applyNumberFormat="1" applyFont="1" applyFill="1" applyBorder="1"/>
    <xf numFmtId="3" fontId="14" fillId="0" borderId="19" xfId="6" applyNumberFormat="1" applyFont="1" applyFill="1" applyBorder="1"/>
    <xf numFmtId="0" fontId="5" fillId="0" borderId="0" xfId="6" applyFont="1" applyBorder="1" applyAlignment="1">
      <alignment horizontal="left" vertical="center"/>
    </xf>
    <xf numFmtId="3" fontId="14" fillId="0" borderId="0" xfId="6" applyNumberFormat="1" applyFont="1" applyFill="1" applyBorder="1"/>
    <xf numFmtId="166" fontId="14" fillId="0" borderId="0" xfId="6" applyNumberFormat="1" applyFont="1" applyFill="1" applyBorder="1"/>
    <xf numFmtId="168" fontId="14" fillId="0" borderId="0" xfId="6" applyNumberFormat="1" applyFont="1" applyFill="1" applyBorder="1"/>
    <xf numFmtId="167" fontId="14" fillId="0" borderId="0" xfId="6" applyNumberFormat="1" applyFont="1" applyFill="1" applyBorder="1" applyAlignment="1">
      <alignment horizontal="right"/>
    </xf>
    <xf numFmtId="165" fontId="14" fillId="0" borderId="0" xfId="6" applyNumberFormat="1" applyFont="1" applyFill="1" applyBorder="1"/>
    <xf numFmtId="167" fontId="14" fillId="0" borderId="0" xfId="6" applyNumberFormat="1" applyFont="1" applyFill="1" applyBorder="1"/>
    <xf numFmtId="0" fontId="5" fillId="0" borderId="0" xfId="6" applyFont="1" applyAlignment="1"/>
    <xf numFmtId="3" fontId="1" fillId="0" borderId="0" xfId="6" applyNumberFormat="1"/>
    <xf numFmtId="0" fontId="7" fillId="0" borderId="53" xfId="6" applyFont="1" applyFill="1" applyBorder="1" applyAlignment="1">
      <alignment wrapText="1"/>
    </xf>
    <xf numFmtId="0" fontId="7" fillId="0" borderId="0" xfId="6" applyFont="1" applyFill="1" applyBorder="1" applyAlignment="1">
      <alignment horizontal="center"/>
    </xf>
    <xf numFmtId="0" fontId="7" fillId="0" borderId="31" xfId="6" applyFont="1" applyFill="1" applyBorder="1" applyAlignment="1">
      <alignment horizontal="center"/>
    </xf>
    <xf numFmtId="0" fontId="7" fillId="0" borderId="35" xfId="6" applyFont="1" applyFill="1" applyBorder="1" applyAlignment="1">
      <alignment horizontal="center" wrapText="1"/>
    </xf>
    <xf numFmtId="0" fontId="7" fillId="0" borderId="0" xfId="6" applyFont="1" applyFill="1" applyBorder="1" applyAlignment="1"/>
    <xf numFmtId="0" fontId="7" fillId="0" borderId="37" xfId="6" applyFont="1" applyFill="1" applyBorder="1" applyAlignment="1">
      <alignment horizontal="center"/>
    </xf>
    <xf numFmtId="0" fontId="7" fillId="0" borderId="39" xfId="6" applyFont="1" applyFill="1" applyBorder="1" applyAlignment="1">
      <alignment horizontal="center"/>
    </xf>
    <xf numFmtId="9" fontId="7" fillId="0" borderId="0" xfId="6" applyNumberFormat="1" applyFont="1" applyFill="1" applyBorder="1" applyAlignment="1">
      <alignment horizontal="center"/>
    </xf>
    <xf numFmtId="49" fontId="7" fillId="0" borderId="51" xfId="6" applyNumberFormat="1" applyFont="1" applyFill="1" applyBorder="1" applyAlignment="1">
      <alignment horizontal="center"/>
    </xf>
    <xf numFmtId="49" fontId="7" fillId="0" borderId="40" xfId="6" applyNumberFormat="1" applyFont="1" applyFill="1" applyBorder="1" applyAlignment="1">
      <alignment horizontal="center"/>
    </xf>
    <xf numFmtId="49" fontId="7" fillId="0" borderId="47" xfId="6" applyNumberFormat="1" applyFont="1" applyFill="1" applyBorder="1" applyAlignment="1">
      <alignment horizontal="center"/>
    </xf>
    <xf numFmtId="49" fontId="7" fillId="0" borderId="3" xfId="6" applyNumberFormat="1" applyFont="1" applyFill="1" applyBorder="1" applyAlignment="1">
      <alignment horizontal="center"/>
    </xf>
    <xf numFmtId="49" fontId="7" fillId="0" borderId="5" xfId="6" applyNumberFormat="1" applyFont="1" applyFill="1" applyBorder="1" applyAlignment="1">
      <alignment horizontal="center"/>
    </xf>
    <xf numFmtId="49" fontId="7" fillId="0" borderId="49" xfId="6" applyNumberFormat="1" applyFont="1" applyFill="1" applyBorder="1" applyAlignment="1">
      <alignment horizontal="center"/>
    </xf>
    <xf numFmtId="49" fontId="5" fillId="0" borderId="50" xfId="6" applyNumberFormat="1" applyFont="1" applyFill="1" applyBorder="1" applyAlignment="1">
      <alignment horizontal="center"/>
    </xf>
    <xf numFmtId="49" fontId="7" fillId="0" borderId="54" xfId="6" applyNumberFormat="1" applyFont="1" applyFill="1" applyBorder="1" applyAlignment="1">
      <alignment horizontal="center"/>
    </xf>
    <xf numFmtId="49" fontId="7" fillId="0" borderId="30" xfId="6" applyNumberFormat="1" applyFont="1" applyFill="1" applyBorder="1" applyAlignment="1">
      <alignment horizontal="center"/>
    </xf>
    <xf numFmtId="49" fontId="7" fillId="0" borderId="17" xfId="6" applyNumberFormat="1" applyFont="1" applyFill="1" applyBorder="1" applyAlignment="1">
      <alignment horizontal="center"/>
    </xf>
    <xf numFmtId="49" fontId="7" fillId="0" borderId="52" xfId="6" applyNumberFormat="1" applyFont="1" applyFill="1" applyBorder="1" applyAlignment="1">
      <alignment horizontal="center"/>
    </xf>
    <xf numFmtId="0" fontId="4" fillId="0" borderId="0" xfId="6" applyFont="1"/>
    <xf numFmtId="0" fontId="5" fillId="0" borderId="39" xfId="6" applyFont="1" applyFill="1" applyBorder="1"/>
    <xf numFmtId="3" fontId="5" fillId="0" borderId="42" xfId="6" applyNumberFormat="1" applyFont="1" applyFill="1" applyBorder="1"/>
    <xf numFmtId="165" fontId="5" fillId="0" borderId="55" xfId="6" applyNumberFormat="1" applyFont="1" applyFill="1" applyBorder="1"/>
    <xf numFmtId="3" fontId="5" fillId="0" borderId="56" xfId="6" applyNumberFormat="1" applyFont="1" applyFill="1" applyBorder="1"/>
    <xf numFmtId="3" fontId="5" fillId="0" borderId="39" xfId="6" applyNumberFormat="1" applyFont="1" applyFill="1" applyBorder="1"/>
    <xf numFmtId="165" fontId="5" fillId="0" borderId="0" xfId="6" applyNumberFormat="1" applyFont="1" applyFill="1" applyBorder="1"/>
    <xf numFmtId="3" fontId="7" fillId="0" borderId="39" xfId="6" applyNumberFormat="1" applyFont="1" applyFill="1" applyBorder="1"/>
    <xf numFmtId="3" fontId="5" fillId="0" borderId="0" xfId="6" applyNumberFormat="1" applyFont="1" applyFill="1" applyBorder="1"/>
    <xf numFmtId="165" fontId="1" fillId="0" borderId="0" xfId="6" applyNumberFormat="1"/>
    <xf numFmtId="4" fontId="1" fillId="0" borderId="0" xfId="6" applyNumberFormat="1"/>
    <xf numFmtId="165" fontId="4" fillId="0" borderId="0" xfId="6" applyNumberFormat="1" applyFont="1"/>
    <xf numFmtId="3" fontId="7" fillId="0" borderId="0" xfId="6" applyNumberFormat="1" applyFont="1" applyFill="1" applyBorder="1"/>
    <xf numFmtId="4" fontId="1" fillId="0" borderId="0" xfId="6" applyNumberFormat="1" applyFill="1"/>
    <xf numFmtId="0" fontId="4" fillId="0" borderId="0" xfId="6" applyFont="1" applyFill="1"/>
    <xf numFmtId="165" fontId="4" fillId="0" borderId="0" xfId="6" applyNumberFormat="1" applyFont="1" applyFill="1"/>
    <xf numFmtId="0" fontId="5" fillId="0" borderId="43" xfId="6" applyFont="1" applyFill="1" applyBorder="1"/>
    <xf numFmtId="3" fontId="5" fillId="0" borderId="43" xfId="6" applyNumberFormat="1" applyFont="1" applyFill="1" applyBorder="1"/>
    <xf numFmtId="0" fontId="7" fillId="0" borderId="33" xfId="6" applyFont="1" applyFill="1" applyBorder="1"/>
    <xf numFmtId="3" fontId="7" fillId="0" borderId="44" xfId="6" applyNumberFormat="1" applyFont="1" applyFill="1" applyBorder="1"/>
    <xf numFmtId="165" fontId="7" fillId="0" borderId="4" xfId="6" applyNumberFormat="1" applyFont="1" applyFill="1" applyBorder="1"/>
    <xf numFmtId="3" fontId="7" fillId="0" borderId="19" xfId="6" applyNumberFormat="1" applyFont="1" applyFill="1" applyBorder="1"/>
    <xf numFmtId="3" fontId="7" fillId="0" borderId="20" xfId="6" applyNumberFormat="1" applyFont="1" applyFill="1" applyBorder="1"/>
    <xf numFmtId="4" fontId="5" fillId="0" borderId="0" xfId="6" applyNumberFormat="1" applyFont="1" applyFill="1"/>
    <xf numFmtId="4" fontId="5" fillId="0" borderId="0" xfId="6" applyNumberFormat="1" applyFont="1"/>
    <xf numFmtId="169" fontId="1" fillId="0" borderId="0" xfId="6" applyNumberFormat="1" applyFill="1"/>
    <xf numFmtId="0" fontId="7" fillId="0" borderId="1" xfId="6" applyFont="1" applyBorder="1" applyAlignment="1">
      <alignment horizontal="center"/>
    </xf>
    <xf numFmtId="0" fontId="7" fillId="0" borderId="1" xfId="6" applyFont="1" applyBorder="1" applyAlignment="1">
      <alignment horizontal="center" vertical="center"/>
    </xf>
    <xf numFmtId="0" fontId="7" fillId="0" borderId="57" xfId="6" applyFont="1" applyBorder="1" applyAlignment="1">
      <alignment horizontal="center"/>
    </xf>
    <xf numFmtId="0" fontId="7" fillId="0" borderId="57" xfId="6" applyFont="1" applyBorder="1" applyAlignment="1">
      <alignment horizontal="center" vertical="center"/>
    </xf>
    <xf numFmtId="49" fontId="7" fillId="0" borderId="57" xfId="6" applyNumberFormat="1" applyFont="1" applyBorder="1" applyAlignment="1">
      <alignment horizontal="center"/>
    </xf>
    <xf numFmtId="49" fontId="7" fillId="0" borderId="28" xfId="6" applyNumberFormat="1" applyFont="1" applyBorder="1" applyAlignment="1">
      <alignment horizontal="center"/>
    </xf>
    <xf numFmtId="0" fontId="5" fillId="0" borderId="58" xfId="6" applyFont="1" applyBorder="1"/>
    <xf numFmtId="4" fontId="20" fillId="0" borderId="0" xfId="6" applyNumberFormat="1" applyFont="1"/>
    <xf numFmtId="0" fontId="5" fillId="0" borderId="56" xfId="6" applyFont="1" applyBorder="1"/>
    <xf numFmtId="0" fontId="7" fillId="0" borderId="2" xfId="6" applyFont="1" applyBorder="1"/>
    <xf numFmtId="4" fontId="7" fillId="0" borderId="2" xfId="6" applyNumberFormat="1" applyFont="1" applyBorder="1"/>
    <xf numFmtId="2" fontId="7" fillId="0" borderId="2" xfId="6" applyNumberFormat="1" applyFont="1" applyBorder="1"/>
    <xf numFmtId="0" fontId="5" fillId="0" borderId="0" xfId="6" applyFont="1" applyAlignment="1">
      <alignment horizontal="center"/>
    </xf>
    <xf numFmtId="0" fontId="5" fillId="0" borderId="31" xfId="6" applyFont="1" applyBorder="1"/>
    <xf numFmtId="165" fontId="5" fillId="0" borderId="35" xfId="6" applyNumberFormat="1" applyFont="1" applyBorder="1"/>
    <xf numFmtId="3" fontId="5" fillId="0" borderId="35" xfId="6" applyNumberFormat="1" applyFont="1" applyFill="1" applyBorder="1" applyAlignment="1">
      <alignment horizontal="right"/>
    </xf>
    <xf numFmtId="2" fontId="1" fillId="0" borderId="0" xfId="6" applyNumberFormat="1"/>
    <xf numFmtId="0" fontId="5" fillId="0" borderId="37" xfId="6" applyFont="1" applyBorder="1"/>
    <xf numFmtId="165" fontId="5" fillId="0" borderId="39" xfId="6" applyNumberFormat="1" applyFont="1" applyBorder="1"/>
    <xf numFmtId="3" fontId="5" fillId="0" borderId="39" xfId="6" applyNumberFormat="1" applyFont="1" applyFill="1" applyBorder="1" applyAlignment="1">
      <alignment horizontal="right"/>
    </xf>
    <xf numFmtId="0" fontId="5" fillId="0" borderId="40" xfId="6" applyFont="1" applyBorder="1"/>
    <xf numFmtId="165" fontId="5" fillId="0" borderId="43" xfId="6" applyNumberFormat="1" applyFont="1" applyBorder="1"/>
    <xf numFmtId="3" fontId="5" fillId="0" borderId="43" xfId="6" applyNumberFormat="1" applyFont="1" applyFill="1" applyBorder="1" applyAlignment="1">
      <alignment horizontal="right"/>
    </xf>
    <xf numFmtId="0" fontId="5" fillId="0" borderId="0" xfId="6" applyFont="1" applyAlignment="1">
      <alignment vertical="top"/>
    </xf>
    <xf numFmtId="0" fontId="5" fillId="0" borderId="0" xfId="6" applyFont="1" applyFill="1" applyBorder="1"/>
    <xf numFmtId="0" fontId="5" fillId="0" borderId="0" xfId="6" applyFont="1" applyFill="1" applyBorder="1" applyAlignment="1">
      <alignment horizontal="center"/>
    </xf>
    <xf numFmtId="0" fontId="1" fillId="0" borderId="0" xfId="6" applyFill="1" applyBorder="1"/>
    <xf numFmtId="0" fontId="21" fillId="0" borderId="35" xfId="6" applyFont="1" applyFill="1" applyBorder="1" applyAlignment="1">
      <alignment horizontal="center"/>
    </xf>
    <xf numFmtId="0" fontId="21" fillId="0" borderId="59" xfId="6" applyFont="1" applyFill="1" applyBorder="1" applyAlignment="1">
      <alignment horizontal="center"/>
    </xf>
    <xf numFmtId="0" fontId="21" fillId="0" borderId="39" xfId="6" applyFont="1" applyFill="1" applyBorder="1" applyAlignment="1">
      <alignment horizontal="center"/>
    </xf>
    <xf numFmtId="0" fontId="21" fillId="0" borderId="0" xfId="6" applyFont="1" applyFill="1" applyBorder="1" applyAlignment="1">
      <alignment horizontal="center"/>
    </xf>
    <xf numFmtId="49" fontId="21" fillId="0" borderId="39" xfId="6" applyNumberFormat="1" applyFont="1" applyFill="1" applyBorder="1" applyAlignment="1">
      <alignment horizontal="center"/>
    </xf>
    <xf numFmtId="49" fontId="21" fillId="0" borderId="0" xfId="6" applyNumberFormat="1" applyFont="1" applyFill="1" applyBorder="1" applyAlignment="1">
      <alignment horizontal="center"/>
    </xf>
    <xf numFmtId="49" fontId="21" fillId="0" borderId="44" xfId="6" applyNumberFormat="1" applyFont="1" applyFill="1" applyBorder="1" applyAlignment="1">
      <alignment horizontal="center"/>
    </xf>
    <xf numFmtId="0" fontId="21" fillId="0" borderId="43" xfId="6" applyFont="1" applyFill="1" applyBorder="1" applyAlignment="1">
      <alignment horizontal="center"/>
    </xf>
    <xf numFmtId="49" fontId="21" fillId="0" borderId="43" xfId="6" applyNumberFormat="1" applyFont="1" applyFill="1" applyBorder="1" applyAlignment="1">
      <alignment horizontal="center"/>
    </xf>
    <xf numFmtId="49" fontId="21" fillId="2" borderId="42" xfId="6" applyNumberFormat="1" applyFont="1" applyFill="1" applyBorder="1" applyAlignment="1">
      <alignment horizontal="center"/>
    </xf>
    <xf numFmtId="49" fontId="21" fillId="2" borderId="39" xfId="6" applyNumberFormat="1" applyFont="1" applyFill="1" applyBorder="1" applyAlignment="1">
      <alignment horizontal="center"/>
    </xf>
    <xf numFmtId="0" fontId="1" fillId="2" borderId="0" xfId="6" applyFill="1"/>
    <xf numFmtId="0" fontId="5" fillId="0" borderId="35" xfId="6" applyFont="1" applyFill="1" applyBorder="1"/>
    <xf numFmtId="3" fontId="5" fillId="0" borderId="35" xfId="6" applyNumberFormat="1" applyFont="1" applyFill="1" applyBorder="1"/>
    <xf numFmtId="166" fontId="5" fillId="0" borderId="35" xfId="6" applyNumberFormat="1" applyFont="1" applyFill="1" applyBorder="1"/>
    <xf numFmtId="3" fontId="5" fillId="0" borderId="59" xfId="6" applyNumberFormat="1" applyFont="1" applyFill="1" applyBorder="1"/>
    <xf numFmtId="165" fontId="5" fillId="0" borderId="35" xfId="6" applyNumberFormat="1" applyFont="1" applyFill="1" applyBorder="1"/>
    <xf numFmtId="3" fontId="5" fillId="0" borderId="35" xfId="6" applyNumberFormat="1" applyFont="1" applyFill="1" applyBorder="1" applyAlignment="1"/>
    <xf numFmtId="165" fontId="1" fillId="2" borderId="0" xfId="6" applyNumberFormat="1" applyFill="1"/>
    <xf numFmtId="166" fontId="5" fillId="0" borderId="39" xfId="6" applyNumberFormat="1" applyFont="1" applyFill="1" applyBorder="1"/>
    <xf numFmtId="165" fontId="5" fillId="0" borderId="39" xfId="6" applyNumberFormat="1" applyFont="1" applyFill="1" applyBorder="1"/>
    <xf numFmtId="3" fontId="5" fillId="0" borderId="39" xfId="6" applyNumberFormat="1" applyFont="1" applyFill="1" applyBorder="1" applyAlignment="1"/>
    <xf numFmtId="166" fontId="5" fillId="0" borderId="43" xfId="6" applyNumberFormat="1" applyFont="1" applyFill="1" applyBorder="1"/>
    <xf numFmtId="0" fontId="5" fillId="0" borderId="19" xfId="6" applyFont="1" applyFill="1" applyBorder="1"/>
    <xf numFmtId="3" fontId="7" fillId="0" borderId="43" xfId="6" applyNumberFormat="1" applyFont="1" applyFill="1" applyBorder="1"/>
    <xf numFmtId="166" fontId="7" fillId="0" borderId="44" xfId="6" applyNumberFormat="1" applyFont="1" applyFill="1" applyBorder="1"/>
    <xf numFmtId="3" fontId="7" fillId="0" borderId="33" xfId="6" applyNumberFormat="1" applyFont="1" applyFill="1" applyBorder="1"/>
    <xf numFmtId="165" fontId="7" fillId="0" borderId="19" xfId="6" applyNumberFormat="1" applyFont="1" applyFill="1" applyBorder="1"/>
    <xf numFmtId="3" fontId="7" fillId="0" borderId="19" xfId="6" applyNumberFormat="1" applyFont="1" applyFill="1" applyBorder="1" applyAlignment="1"/>
    <xf numFmtId="3" fontId="7" fillId="0" borderId="34" xfId="6" applyNumberFormat="1" applyFont="1" applyFill="1" applyBorder="1" applyAlignment="1"/>
    <xf numFmtId="0" fontId="5" fillId="0" borderId="0" xfId="6" applyFont="1" applyAlignment="1">
      <alignment horizontal="center" vertical="center"/>
    </xf>
    <xf numFmtId="166" fontId="7" fillId="0" borderId="26" xfId="6" applyNumberFormat="1" applyFont="1" applyBorder="1" applyAlignment="1">
      <alignment horizontal="center"/>
    </xf>
    <xf numFmtId="166" fontId="7" fillId="0" borderId="52" xfId="6" applyNumberFormat="1" applyFont="1" applyBorder="1" applyAlignment="1">
      <alignment horizontal="center"/>
    </xf>
    <xf numFmtId="0" fontId="7" fillId="0" borderId="52" xfId="6" applyFont="1" applyBorder="1" applyAlignment="1">
      <alignment horizontal="center"/>
    </xf>
    <xf numFmtId="0" fontId="5" fillId="0" borderId="35" xfId="6" applyFont="1" applyBorder="1" applyAlignment="1">
      <alignment horizontal="center" vertical="center"/>
    </xf>
    <xf numFmtId="44" fontId="5" fillId="0" borderId="59" xfId="7" applyFont="1" applyBorder="1"/>
    <xf numFmtId="166" fontId="5" fillId="0" borderId="59" xfId="6" applyNumberFormat="1" applyFont="1" applyBorder="1"/>
    <xf numFmtId="3" fontId="22" fillId="0" borderId="59" xfId="6" applyNumberFormat="1" applyFont="1" applyBorder="1" applyAlignment="1">
      <alignment horizontal="right" vertical="center" wrapText="1"/>
    </xf>
    <xf numFmtId="0" fontId="1" fillId="0" borderId="38" xfId="6" applyBorder="1"/>
    <xf numFmtId="166" fontId="5" fillId="0" borderId="31" xfId="6" applyNumberFormat="1" applyFont="1" applyBorder="1" applyAlignment="1">
      <alignment horizontal="center"/>
    </xf>
    <xf numFmtId="166" fontId="5" fillId="0" borderId="59" xfId="6" applyNumberFormat="1" applyFont="1" applyBorder="1" applyAlignment="1">
      <alignment horizontal="center"/>
    </xf>
    <xf numFmtId="0" fontId="1" fillId="0" borderId="59" xfId="6" applyBorder="1"/>
    <xf numFmtId="4" fontId="5" fillId="3" borderId="0" xfId="6" applyNumberFormat="1" applyFont="1" applyFill="1" applyBorder="1" applyAlignment="1">
      <alignment horizontal="right"/>
    </xf>
    <xf numFmtId="4" fontId="5" fillId="0" borderId="0" xfId="6" applyNumberFormat="1" applyFont="1" applyFill="1" applyBorder="1" applyAlignment="1">
      <alignment horizontal="right"/>
    </xf>
    <xf numFmtId="10" fontId="1" fillId="4" borderId="0" xfId="6" applyNumberFormat="1" applyFill="1"/>
    <xf numFmtId="10" fontId="1" fillId="0" borderId="0" xfId="6" applyNumberFormat="1" applyFill="1"/>
    <xf numFmtId="0" fontId="5" fillId="0" borderId="39" xfId="6" applyFont="1" applyBorder="1" applyAlignment="1">
      <alignment horizontal="center" vertical="center"/>
    </xf>
    <xf numFmtId="166" fontId="5" fillId="0" borderId="37" xfId="6" applyNumberFormat="1" applyFont="1" applyFill="1" applyBorder="1" applyAlignment="1">
      <alignment horizontal="center"/>
    </xf>
    <xf numFmtId="166" fontId="5" fillId="0" borderId="0" xfId="6" applyNumberFormat="1" applyFont="1" applyFill="1" applyBorder="1" applyAlignment="1">
      <alignment horizontal="center"/>
    </xf>
    <xf numFmtId="4" fontId="1" fillId="4" borderId="0" xfId="6" applyNumberFormat="1" applyFill="1"/>
    <xf numFmtId="0" fontId="5" fillId="0" borderId="0" xfId="6" applyFont="1" applyFill="1" applyBorder="1" applyAlignment="1">
      <alignment horizontal="left"/>
    </xf>
    <xf numFmtId="4" fontId="1" fillId="0" borderId="0" xfId="6" applyNumberFormat="1" applyFill="1" applyAlignment="1">
      <alignment horizontal="right"/>
    </xf>
    <xf numFmtId="0" fontId="5" fillId="0" borderId="37" xfId="6" applyFont="1" applyFill="1" applyBorder="1" applyAlignment="1">
      <alignment horizontal="left"/>
    </xf>
    <xf numFmtId="0" fontId="5" fillId="0" borderId="42" xfId="6" applyFont="1" applyFill="1" applyBorder="1" applyAlignment="1">
      <alignment horizontal="left"/>
    </xf>
    <xf numFmtId="0" fontId="5" fillId="0" borderId="37" xfId="6" applyFont="1" applyFill="1" applyBorder="1" applyAlignment="1">
      <alignment horizontal="right"/>
    </xf>
    <xf numFmtId="0" fontId="5" fillId="0" borderId="0" xfId="6" applyFont="1" applyFill="1" applyBorder="1" applyAlignment="1">
      <alignment horizontal="right"/>
    </xf>
    <xf numFmtId="0" fontId="1" fillId="0" borderId="0" xfId="6" applyFill="1" applyAlignment="1">
      <alignment horizontal="right"/>
    </xf>
    <xf numFmtId="0" fontId="5" fillId="0" borderId="37" xfId="6" applyFont="1" applyBorder="1" applyAlignment="1">
      <alignment horizontal="center" vertical="center"/>
    </xf>
    <xf numFmtId="4" fontId="5" fillId="0" borderId="2" xfId="6" applyNumberFormat="1" applyFont="1" applyFill="1" applyBorder="1" applyAlignment="1">
      <alignment horizontal="right"/>
    </xf>
    <xf numFmtId="4" fontId="5" fillId="0" borderId="13" xfId="6" applyNumberFormat="1" applyFont="1" applyFill="1" applyBorder="1" applyAlignment="1">
      <alignment horizontal="right"/>
    </xf>
    <xf numFmtId="0" fontId="5" fillId="0" borderId="40" xfId="6" applyFont="1" applyBorder="1" applyAlignment="1">
      <alignment horizontal="center" vertical="center"/>
    </xf>
    <xf numFmtId="0" fontId="5" fillId="0" borderId="57" xfId="6" applyFont="1" applyBorder="1" applyAlignment="1">
      <alignment horizontal="center" vertical="center"/>
    </xf>
    <xf numFmtId="0" fontId="5" fillId="0" borderId="24" xfId="6" applyFont="1" applyBorder="1" applyAlignment="1">
      <alignment horizontal="center" vertical="center"/>
    </xf>
    <xf numFmtId="0" fontId="5" fillId="0" borderId="56" xfId="6" applyFont="1" applyFill="1" applyBorder="1" applyAlignment="1">
      <alignment horizontal="right"/>
    </xf>
    <xf numFmtId="0" fontId="5" fillId="0" borderId="2" xfId="6" applyFont="1" applyFill="1" applyBorder="1" applyAlignment="1">
      <alignment horizontal="right"/>
    </xf>
    <xf numFmtId="0" fontId="5" fillId="0" borderId="10" xfId="6" applyFont="1" applyFill="1" applyBorder="1" applyAlignment="1">
      <alignment horizontal="right"/>
    </xf>
    <xf numFmtId="4" fontId="7" fillId="0" borderId="10" xfId="6" applyNumberFormat="1" applyFont="1" applyFill="1" applyBorder="1" applyAlignment="1">
      <alignment horizontal="right"/>
    </xf>
    <xf numFmtId="0" fontId="7" fillId="0" borderId="56" xfId="6" applyFont="1" applyFill="1" applyBorder="1" applyAlignment="1">
      <alignment horizontal="center"/>
    </xf>
    <xf numFmtId="0" fontId="7" fillId="0" borderId="55" xfId="6" applyFont="1" applyFill="1" applyBorder="1" applyAlignment="1">
      <alignment horizontal="center"/>
    </xf>
    <xf numFmtId="4" fontId="5" fillId="0" borderId="56" xfId="6" applyNumberFormat="1" applyFont="1" applyFill="1" applyBorder="1" applyAlignment="1">
      <alignment horizontal="right"/>
    </xf>
    <xf numFmtId="4" fontId="7" fillId="0" borderId="0" xfId="6" applyNumberFormat="1" applyFont="1" applyFill="1" applyBorder="1" applyAlignment="1">
      <alignment horizontal="right"/>
    </xf>
    <xf numFmtId="166" fontId="1" fillId="0" borderId="0" xfId="6" applyNumberFormat="1" applyFill="1"/>
    <xf numFmtId="0" fontId="5" fillId="5" borderId="57" xfId="6" applyFont="1" applyFill="1" applyBorder="1" applyAlignment="1">
      <alignment horizontal="center" vertical="center"/>
    </xf>
    <xf numFmtId="0" fontId="5" fillId="0" borderId="57" xfId="6" applyFont="1" applyFill="1" applyBorder="1" applyAlignment="1">
      <alignment horizontal="center" vertical="center"/>
    </xf>
    <xf numFmtId="0" fontId="5" fillId="0" borderId="56" xfId="6" applyFont="1" applyFill="1" applyBorder="1" applyAlignment="1">
      <alignment horizontal="left"/>
    </xf>
    <xf numFmtId="0" fontId="5" fillId="0" borderId="55" xfId="6" applyFont="1" applyFill="1" applyBorder="1" applyAlignment="1">
      <alignment horizontal="left"/>
    </xf>
    <xf numFmtId="3" fontId="5" fillId="0" borderId="56" xfId="6" applyNumberFormat="1" applyFont="1" applyFill="1" applyBorder="1" applyAlignment="1">
      <alignment horizontal="right"/>
    </xf>
    <xf numFmtId="3" fontId="5" fillId="0" borderId="0" xfId="6" applyNumberFormat="1" applyFont="1" applyFill="1" applyBorder="1" applyAlignment="1">
      <alignment horizontal="right"/>
    </xf>
    <xf numFmtId="0" fontId="5" fillId="0" borderId="2" xfId="6" applyFont="1" applyBorder="1" applyAlignment="1">
      <alignment horizontal="center" vertical="center"/>
    </xf>
    <xf numFmtId="0" fontId="5" fillId="0" borderId="0" xfId="6" applyFont="1" applyFill="1"/>
    <xf numFmtId="0" fontId="5" fillId="0" borderId="0" xfId="6" applyFont="1" applyFill="1" applyAlignment="1">
      <alignment horizontal="center"/>
    </xf>
    <xf numFmtId="0" fontId="5" fillId="0" borderId="39" xfId="6" applyFont="1" applyBorder="1"/>
    <xf numFmtId="3" fontId="5" fillId="0" borderId="35" xfId="6" applyNumberFormat="1" applyFont="1" applyBorder="1"/>
    <xf numFmtId="166" fontId="1" fillId="0" borderId="0" xfId="6" applyNumberFormat="1"/>
    <xf numFmtId="3" fontId="23" fillId="0" borderId="39" xfId="6" applyNumberFormat="1" applyFont="1" applyBorder="1" applyAlignment="1">
      <alignment horizontal="right" vertical="center" wrapText="1"/>
    </xf>
    <xf numFmtId="3" fontId="5" fillId="0" borderId="39" xfId="6" applyNumberFormat="1" applyFont="1" applyBorder="1"/>
    <xf numFmtId="0" fontId="7" fillId="0" borderId="19" xfId="6" applyFont="1" applyBorder="1"/>
    <xf numFmtId="3" fontId="7" fillId="0" borderId="19" xfId="6" applyNumberFormat="1" applyFont="1" applyBorder="1"/>
    <xf numFmtId="165" fontId="5" fillId="0" borderId="0" xfId="0" applyNumberFormat="1" applyFont="1"/>
    <xf numFmtId="170" fontId="9" fillId="0" borderId="0" xfId="0" applyNumberFormat="1" applyFont="1" applyBorder="1" applyAlignment="1">
      <alignment horizontal="right"/>
    </xf>
    <xf numFmtId="170" fontId="24" fillId="0" borderId="0" xfId="0" applyNumberFormat="1" applyFont="1"/>
    <xf numFmtId="165" fontId="9" fillId="0" borderId="0" xfId="0" applyNumberFormat="1" applyFont="1"/>
    <xf numFmtId="165" fontId="24" fillId="0" borderId="0" xfId="0" applyNumberFormat="1" applyFont="1"/>
    <xf numFmtId="165" fontId="9" fillId="0" borderId="0" xfId="0" applyNumberFormat="1" applyFont="1" applyBorder="1"/>
    <xf numFmtId="165" fontId="9" fillId="0" borderId="0" xfId="0" applyNumberFormat="1" applyFont="1" applyAlignment="1">
      <alignment horizontal="center"/>
    </xf>
    <xf numFmtId="166" fontId="9" fillId="0" borderId="0" xfId="0" applyNumberFormat="1" applyFont="1"/>
    <xf numFmtId="166" fontId="5" fillId="0" borderId="0" xfId="0" applyNumberFormat="1" applyFont="1"/>
    <xf numFmtId="3" fontId="5" fillId="0" borderId="0" xfId="0" applyNumberFormat="1" applyFont="1"/>
    <xf numFmtId="166" fontId="5" fillId="0" borderId="0" xfId="0" applyNumberFormat="1" applyFont="1" applyAlignment="1">
      <alignment horizontal="right"/>
    </xf>
    <xf numFmtId="166" fontId="5" fillId="0" borderId="0" xfId="0" applyNumberFormat="1" applyFont="1" applyBorder="1" applyAlignment="1">
      <alignment horizontal="right"/>
    </xf>
    <xf numFmtId="165" fontId="5" fillId="0" borderId="0" xfId="0" applyNumberFormat="1" applyFont="1" applyBorder="1" applyAlignment="1">
      <alignment horizontal="right"/>
    </xf>
    <xf numFmtId="3" fontId="9" fillId="0" borderId="0" xfId="0" applyNumberFormat="1" applyFont="1" applyAlignment="1">
      <alignment horizontal="right"/>
    </xf>
    <xf numFmtId="165" fontId="7" fillId="0" borderId="19" xfId="6" applyNumberFormat="1" applyFont="1" applyBorder="1"/>
    <xf numFmtId="3" fontId="7" fillId="0" borderId="19" xfId="6" applyNumberFormat="1" applyFont="1" applyFill="1" applyBorder="1" applyAlignment="1">
      <alignment horizontal="right"/>
    </xf>
    <xf numFmtId="0" fontId="10" fillId="0" borderId="0" xfId="0" applyFont="1" applyAlignment="1"/>
    <xf numFmtId="0" fontId="11" fillId="0" borderId="0" xfId="0" applyFont="1" applyAlignment="1"/>
    <xf numFmtId="0" fontId="12" fillId="0" borderId="0" xfId="0" applyFont="1" applyAlignment="1"/>
    <xf numFmtId="0" fontId="7" fillId="0" borderId="0" xfId="6" applyFont="1" applyAlignment="1">
      <alignment horizontal="center"/>
    </xf>
    <xf numFmtId="0" fontId="7" fillId="0" borderId="9" xfId="6" applyFont="1" applyFill="1" applyBorder="1" applyAlignment="1">
      <alignment horizontal="center"/>
    </xf>
    <xf numFmtId="0" fontId="7" fillId="0" borderId="10" xfId="6" applyFont="1" applyFill="1" applyBorder="1" applyAlignment="1">
      <alignment horizontal="center"/>
    </xf>
    <xf numFmtId="0" fontId="7" fillId="0" borderId="11" xfId="6" applyFont="1" applyFill="1" applyBorder="1" applyAlignment="1">
      <alignment horizontal="center"/>
    </xf>
    <xf numFmtId="3" fontId="5" fillId="0" borderId="31" xfId="6" applyNumberFormat="1" applyFont="1" applyFill="1" applyBorder="1"/>
    <xf numFmtId="3" fontId="5" fillId="0" borderId="14" xfId="6" applyNumberFormat="1" applyFont="1" applyFill="1" applyBorder="1"/>
    <xf numFmtId="3" fontId="5" fillId="0" borderId="16" xfId="6" applyNumberFormat="1" applyFont="1" applyFill="1" applyBorder="1"/>
    <xf numFmtId="3" fontId="5" fillId="0" borderId="62" xfId="6" applyNumberFormat="1" applyFont="1" applyFill="1" applyBorder="1"/>
    <xf numFmtId="3" fontId="5" fillId="0" borderId="37" xfId="6" applyNumberFormat="1" applyFont="1" applyFill="1" applyBorder="1"/>
    <xf numFmtId="3" fontId="5" fillId="0" borderId="57" xfId="6" applyNumberFormat="1" applyFont="1" applyFill="1" applyBorder="1"/>
    <xf numFmtId="3" fontId="5" fillId="0" borderId="63" xfId="6" applyNumberFormat="1" applyFont="1" applyFill="1" applyBorder="1"/>
    <xf numFmtId="3" fontId="5" fillId="0" borderId="55" xfId="6" applyNumberFormat="1" applyFont="1" applyFill="1" applyBorder="1"/>
    <xf numFmtId="3" fontId="5" fillId="0" borderId="40" xfId="6" applyNumberFormat="1" applyFont="1" applyFill="1" applyBorder="1"/>
    <xf numFmtId="3" fontId="5" fillId="0" borderId="15" xfId="6" applyNumberFormat="1" applyFont="1" applyFill="1" applyBorder="1"/>
    <xf numFmtId="3" fontId="5" fillId="0" borderId="17" xfId="6" applyNumberFormat="1" applyFont="1" applyFill="1" applyBorder="1"/>
    <xf numFmtId="3" fontId="5" fillId="0" borderId="64" xfId="6" applyNumberFormat="1" applyFont="1" applyFill="1" applyBorder="1"/>
    <xf numFmtId="0" fontId="5" fillId="0" borderId="40" xfId="6" applyFont="1" applyFill="1" applyBorder="1"/>
    <xf numFmtId="3" fontId="5" fillId="0" borderId="30" xfId="6" applyNumberFormat="1" applyFont="1" applyFill="1" applyBorder="1"/>
    <xf numFmtId="165" fontId="7" fillId="0" borderId="33" xfId="6" applyNumberFormat="1" applyFont="1" applyFill="1" applyBorder="1"/>
    <xf numFmtId="0" fontId="8" fillId="0" borderId="10"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xf>
    <xf numFmtId="165" fontId="9" fillId="0" borderId="28" xfId="0" applyNumberFormat="1" applyFont="1" applyFill="1" applyBorder="1" applyAlignment="1">
      <alignment horizontal="center"/>
    </xf>
    <xf numFmtId="3" fontId="9" fillId="0" borderId="28" xfId="0" applyNumberFormat="1" applyFont="1" applyFill="1" applyBorder="1"/>
    <xf numFmtId="165" fontId="9" fillId="0" borderId="29" xfId="0" applyNumberFormat="1" applyFont="1" applyFill="1" applyBorder="1" applyAlignment="1">
      <alignment horizontal="center"/>
    </xf>
    <xf numFmtId="3" fontId="9" fillId="0" borderId="21" xfId="0" applyNumberFormat="1" applyFont="1" applyFill="1" applyBorder="1"/>
    <xf numFmtId="3" fontId="9" fillId="0" borderId="13" xfId="0" applyNumberFormat="1" applyFont="1" applyFill="1" applyBorder="1"/>
    <xf numFmtId="3" fontId="9" fillId="0" borderId="18" xfId="0" applyNumberFormat="1" applyFont="1" applyFill="1" applyBorder="1"/>
    <xf numFmtId="3" fontId="8" fillId="0" borderId="4" xfId="0" applyNumberFormat="1" applyFont="1" applyFill="1" applyBorder="1" applyAlignment="1">
      <alignment horizontal="right"/>
    </xf>
    <xf numFmtId="165" fontId="8" fillId="0" borderId="20" xfId="0" applyNumberFormat="1" applyFont="1" applyFill="1" applyBorder="1" applyAlignment="1">
      <alignment horizontal="center"/>
    </xf>
    <xf numFmtId="3" fontId="8" fillId="0" borderId="19" xfId="0" applyNumberFormat="1" applyFont="1" applyFill="1" applyBorder="1"/>
    <xf numFmtId="3" fontId="13" fillId="0" borderId="9" xfId="6" applyNumberFormat="1" applyFont="1" applyFill="1" applyBorder="1"/>
    <xf numFmtId="0" fontId="7" fillId="0" borderId="35" xfId="6" applyFont="1" applyFill="1" applyBorder="1" applyAlignment="1">
      <alignment horizontal="center" vertical="center"/>
    </xf>
    <xf numFmtId="0" fontId="2" fillId="0" borderId="0" xfId="3" applyFont="1" applyBorder="1" applyAlignment="1">
      <alignment horizontal="left" vertical="justify"/>
    </xf>
    <xf numFmtId="0" fontId="10" fillId="0" borderId="0" xfId="0" applyFont="1" applyAlignment="1">
      <alignment horizontal="center"/>
    </xf>
    <xf numFmtId="0" fontId="11" fillId="0" borderId="0" xfId="0" applyFont="1" applyAlignment="1">
      <alignment horizontal="center"/>
    </xf>
    <xf numFmtId="0" fontId="8" fillId="0" borderId="6"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2" xfId="0" applyFont="1" applyFill="1" applyBorder="1" applyAlignment="1">
      <alignment horizontal="center" vertical="justify"/>
    </xf>
    <xf numFmtId="0" fontId="8" fillId="0" borderId="23" xfId="0" applyFont="1" applyFill="1" applyBorder="1" applyAlignment="1">
      <alignment horizontal="center" vertical="justify"/>
    </xf>
    <xf numFmtId="0" fontId="8" fillId="0" borderId="7" xfId="0" applyFont="1" applyFill="1" applyBorder="1" applyAlignment="1">
      <alignment horizontal="center" vertical="justify"/>
    </xf>
    <xf numFmtId="0" fontId="12" fillId="0" borderId="0" xfId="0" applyFont="1" applyAlignment="1">
      <alignment horizont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justify"/>
    </xf>
    <xf numFmtId="0" fontId="8" fillId="0" borderId="30" xfId="0" applyFont="1" applyFill="1" applyBorder="1" applyAlignment="1">
      <alignment horizontal="center" vertical="center"/>
    </xf>
    <xf numFmtId="0" fontId="8" fillId="0" borderId="0" xfId="0" applyFont="1" applyAlignment="1">
      <alignment horizontal="center" vertical="center"/>
    </xf>
    <xf numFmtId="0" fontId="2" fillId="0" borderId="0" xfId="3" applyFont="1" applyBorder="1" applyAlignment="1">
      <alignment horizontal="justify" vertical="center"/>
    </xf>
    <xf numFmtId="0" fontId="8" fillId="0" borderId="14" xfId="0" applyFont="1" applyFill="1" applyBorder="1" applyAlignment="1">
      <alignment horizontal="center" vertical="justify"/>
    </xf>
    <xf numFmtId="0" fontId="8" fillId="0" borderId="15" xfId="0" applyFont="1" applyFill="1" applyBorder="1" applyAlignment="1">
      <alignment horizontal="center" vertical="justify"/>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19" fillId="0" borderId="0" xfId="6" applyFont="1" applyFill="1" applyAlignment="1">
      <alignment horizontal="left" vertical="center" wrapText="1"/>
    </xf>
    <xf numFmtId="0" fontId="15" fillId="0" borderId="35" xfId="6" applyFont="1" applyFill="1" applyBorder="1" applyAlignment="1">
      <alignment horizontal="center" vertical="center"/>
    </xf>
    <xf numFmtId="0" fontId="15" fillId="0" borderId="39" xfId="6" applyFont="1" applyFill="1" applyBorder="1" applyAlignment="1">
      <alignment horizontal="center" vertical="center"/>
    </xf>
    <xf numFmtId="0" fontId="15" fillId="0" borderId="35" xfId="6" applyFont="1" applyFill="1" applyBorder="1" applyAlignment="1">
      <alignment horizontal="center" vertical="center" wrapText="1"/>
    </xf>
    <xf numFmtId="0" fontId="15" fillId="0" borderId="39" xfId="6" applyFont="1" applyFill="1" applyBorder="1" applyAlignment="1">
      <alignment horizontal="center" vertical="center" wrapText="1"/>
    </xf>
    <xf numFmtId="4" fontId="15" fillId="0" borderId="35" xfId="6" applyNumberFormat="1" applyFont="1" applyFill="1" applyBorder="1" applyAlignment="1">
      <alignment horizontal="center" vertical="center" wrapText="1"/>
    </xf>
    <xf numFmtId="4" fontId="15" fillId="0" borderId="39" xfId="6" applyNumberFormat="1" applyFont="1" applyFill="1" applyBorder="1" applyAlignment="1">
      <alignment horizontal="center" vertical="center" wrapText="1"/>
    </xf>
    <xf numFmtId="0" fontId="16" fillId="0" borderId="39" xfId="6" applyFont="1" applyBorder="1" applyAlignment="1">
      <alignment horizontal="center" vertical="center" wrapText="1"/>
    </xf>
    <xf numFmtId="0" fontId="16" fillId="0" borderId="43" xfId="6" applyFont="1" applyBorder="1" applyAlignment="1">
      <alignment horizontal="center" vertical="center" wrapText="1"/>
    </xf>
    <xf numFmtId="4" fontId="15" fillId="0" borderId="38" xfId="6" applyNumberFormat="1" applyFont="1" applyFill="1" applyBorder="1" applyAlignment="1">
      <alignment horizontal="center" vertical="center" wrapText="1"/>
    </xf>
    <xf numFmtId="0" fontId="16" fillId="0" borderId="42" xfId="6" applyFont="1" applyBorder="1" applyAlignment="1">
      <alignment horizontal="center" vertical="center" wrapText="1"/>
    </xf>
    <xf numFmtId="0" fontId="15" fillId="0" borderId="39" xfId="6" applyFont="1" applyBorder="1" applyAlignment="1">
      <alignment horizontal="center" vertical="center" wrapText="1"/>
    </xf>
    <xf numFmtId="0" fontId="18" fillId="0" borderId="0" xfId="6" applyFont="1" applyFill="1" applyAlignment="1">
      <alignment horizontal="left" vertical="center" wrapText="1"/>
    </xf>
    <xf numFmtId="0" fontId="14" fillId="0" borderId="0" xfId="6" applyFont="1" applyAlignment="1">
      <alignment horizontal="center"/>
    </xf>
    <xf numFmtId="0" fontId="7" fillId="0" borderId="31" xfId="6" applyFont="1" applyBorder="1" applyAlignment="1">
      <alignment horizontal="center" vertical="center" wrapText="1"/>
    </xf>
    <xf numFmtId="0" fontId="7" fillId="0" borderId="37" xfId="6" applyFont="1" applyBorder="1" applyAlignment="1">
      <alignment horizontal="center" vertical="center" wrapText="1"/>
    </xf>
    <xf numFmtId="0" fontId="7" fillId="0" borderId="32" xfId="6" applyFont="1" applyFill="1" applyBorder="1" applyAlignment="1">
      <alignment horizontal="center" vertical="center" wrapText="1"/>
    </xf>
    <xf numFmtId="0" fontId="7" fillId="0" borderId="33" xfId="6" applyFont="1" applyFill="1" applyBorder="1" applyAlignment="1">
      <alignment horizontal="center" vertical="center" wrapText="1"/>
    </xf>
    <xf numFmtId="0" fontId="7" fillId="0" borderId="34" xfId="6" applyFont="1" applyFill="1" applyBorder="1" applyAlignment="1">
      <alignment horizontal="center" vertical="center" wrapText="1"/>
    </xf>
    <xf numFmtId="0" fontId="7" fillId="0" borderId="32" xfId="6" applyFont="1" applyFill="1" applyBorder="1" applyAlignment="1">
      <alignment horizontal="center" vertical="center"/>
    </xf>
    <xf numFmtId="0" fontId="7" fillId="0" borderId="33" xfId="6" applyFont="1" applyFill="1" applyBorder="1" applyAlignment="1">
      <alignment horizontal="center" vertical="center"/>
    </xf>
    <xf numFmtId="0" fontId="7" fillId="0" borderId="34" xfId="6" applyFont="1" applyFill="1" applyBorder="1" applyAlignment="1">
      <alignment horizontal="center" vertical="center"/>
    </xf>
    <xf numFmtId="0" fontId="1" fillId="0" borderId="36" xfId="6" applyBorder="1" applyAlignment="1">
      <alignment horizontal="center" vertical="center" wrapText="1"/>
    </xf>
    <xf numFmtId="2" fontId="15" fillId="0" borderId="31" xfId="6" applyNumberFormat="1" applyFont="1" applyFill="1" applyBorder="1" applyAlignment="1">
      <alignment horizontal="center" vertical="center" wrapText="1"/>
    </xf>
    <xf numFmtId="0" fontId="16" fillId="0" borderId="38" xfId="6" applyFont="1" applyBorder="1" applyAlignment="1">
      <alignment horizontal="center" vertical="center" wrapText="1"/>
    </xf>
    <xf numFmtId="0" fontId="16" fillId="0" borderId="40" xfId="6" applyFont="1" applyBorder="1" applyAlignment="1">
      <alignment horizontal="center" vertical="center" wrapText="1"/>
    </xf>
    <xf numFmtId="0" fontId="16" fillId="0" borderId="41" xfId="6" applyFont="1" applyBorder="1" applyAlignment="1">
      <alignment horizontal="center" vertical="center" wrapText="1"/>
    </xf>
    <xf numFmtId="0" fontId="7" fillId="0" borderId="1" xfId="6" applyFont="1" applyBorder="1" applyAlignment="1">
      <alignment horizontal="center" vertical="center" wrapText="1"/>
    </xf>
    <xf numFmtId="0" fontId="7" fillId="0" borderId="57" xfId="6" applyFont="1" applyBorder="1" applyAlignment="1">
      <alignment horizontal="center" vertical="center" wrapText="1"/>
    </xf>
    <xf numFmtId="0" fontId="7" fillId="0" borderId="28" xfId="6" applyFont="1" applyBorder="1" applyAlignment="1">
      <alignment horizontal="center" vertical="center" wrapText="1"/>
    </xf>
    <xf numFmtId="0" fontId="7" fillId="0" borderId="51" xfId="6" applyFont="1" applyFill="1" applyBorder="1" applyAlignment="1">
      <alignment horizontal="center"/>
    </xf>
    <xf numFmtId="0" fontId="14" fillId="0" borderId="26" xfId="6" applyFont="1" applyFill="1" applyBorder="1" applyAlignment="1">
      <alignment horizontal="center" vertical="center" wrapText="1"/>
    </xf>
    <xf numFmtId="0" fontId="14" fillId="0" borderId="52" xfId="6" applyFont="1" applyFill="1" applyBorder="1" applyAlignment="1">
      <alignment horizontal="center" vertical="center" wrapText="1"/>
    </xf>
    <xf numFmtId="0" fontId="14" fillId="0" borderId="49" xfId="6" applyFont="1" applyFill="1" applyBorder="1" applyAlignment="1">
      <alignment horizontal="center" vertical="center" wrapText="1"/>
    </xf>
    <xf numFmtId="0" fontId="7" fillId="0" borderId="35" xfId="6" applyFont="1" applyFill="1" applyBorder="1" applyAlignment="1">
      <alignment horizontal="center" vertical="center" wrapText="1"/>
    </xf>
    <xf numFmtId="0" fontId="7" fillId="0" borderId="39" xfId="6" applyFont="1" applyFill="1" applyBorder="1" applyAlignment="1">
      <alignment horizontal="center" vertical="center" wrapText="1"/>
    </xf>
    <xf numFmtId="0" fontId="7" fillId="0" borderId="43" xfId="6" applyFont="1" applyFill="1" applyBorder="1" applyAlignment="1">
      <alignment horizontal="center" vertical="center" wrapText="1"/>
    </xf>
    <xf numFmtId="0" fontId="7" fillId="0" borderId="31" xfId="6" applyFont="1" applyFill="1" applyBorder="1" applyAlignment="1">
      <alignment horizontal="center"/>
    </xf>
    <xf numFmtId="0" fontId="7" fillId="0" borderId="38" xfId="6" applyFont="1" applyFill="1" applyBorder="1" applyAlignment="1">
      <alignment horizontal="center"/>
    </xf>
    <xf numFmtId="0" fontId="7" fillId="0" borderId="35" xfId="6" applyFont="1" applyFill="1" applyBorder="1" applyAlignment="1">
      <alignment horizontal="center" wrapText="1"/>
    </xf>
    <xf numFmtId="0" fontId="7" fillId="0" borderId="39" xfId="6" applyFont="1" applyFill="1" applyBorder="1" applyAlignment="1">
      <alignment horizontal="center" wrapText="1"/>
    </xf>
    <xf numFmtId="0" fontId="7" fillId="0" borderId="47" xfId="6" applyFont="1" applyFill="1" applyBorder="1" applyAlignment="1">
      <alignment horizontal="center" wrapText="1"/>
    </xf>
    <xf numFmtId="1" fontId="7" fillId="0" borderId="37" xfId="6" applyNumberFormat="1" applyFont="1" applyFill="1" applyBorder="1" applyAlignment="1">
      <alignment horizontal="center"/>
    </xf>
    <xf numFmtId="1" fontId="7" fillId="0" borderId="42" xfId="6" applyNumberFormat="1" applyFont="1" applyFill="1" applyBorder="1" applyAlignment="1">
      <alignment horizontal="center"/>
    </xf>
    <xf numFmtId="0" fontId="7" fillId="0" borderId="0" xfId="6" applyFont="1" applyBorder="1" applyAlignment="1">
      <alignment horizontal="center" vertical="justify"/>
    </xf>
    <xf numFmtId="0" fontId="7" fillId="0" borderId="35" xfId="6" applyFont="1" applyBorder="1" applyAlignment="1">
      <alignment horizontal="center" vertical="center" wrapText="1"/>
    </xf>
    <xf numFmtId="0" fontId="7" fillId="0" borderId="39" xfId="6" applyFont="1" applyBorder="1" applyAlignment="1">
      <alignment horizontal="center" vertical="center" wrapText="1"/>
    </xf>
    <xf numFmtId="0" fontId="7" fillId="0" borderId="43" xfId="6" applyFont="1" applyBorder="1" applyAlignment="1">
      <alignment horizontal="center" vertical="center" wrapText="1"/>
    </xf>
    <xf numFmtId="0" fontId="1" fillId="0" borderId="39" xfId="6" applyBorder="1" applyAlignment="1">
      <alignment horizontal="center" vertical="center" wrapText="1"/>
    </xf>
    <xf numFmtId="0" fontId="1" fillId="0" borderId="43" xfId="6" applyBorder="1" applyAlignment="1">
      <alignment horizontal="center" vertical="center" wrapText="1"/>
    </xf>
    <xf numFmtId="0" fontId="7" fillId="0" borderId="35" xfId="6" applyFont="1" applyFill="1" applyBorder="1" applyAlignment="1">
      <alignment horizontal="center" vertical="justify"/>
    </xf>
    <xf numFmtId="0" fontId="7" fillId="0" borderId="39" xfId="6" applyFont="1" applyFill="1" applyBorder="1" applyAlignment="1">
      <alignment horizontal="center" vertical="justify"/>
    </xf>
    <xf numFmtId="0" fontId="7" fillId="0" borderId="43" xfId="6" applyFont="1" applyFill="1" applyBorder="1" applyAlignment="1">
      <alignment horizontal="center" vertical="justify"/>
    </xf>
    <xf numFmtId="0" fontId="7" fillId="0" borderId="0" xfId="6" applyFont="1" applyBorder="1" applyAlignment="1">
      <alignment horizontal="center"/>
    </xf>
    <xf numFmtId="0" fontId="21" fillId="0" borderId="35" xfId="6" applyFont="1" applyFill="1" applyBorder="1" applyAlignment="1">
      <alignment horizontal="center" vertical="center" wrapText="1"/>
    </xf>
    <xf numFmtId="0" fontId="21" fillId="0" borderId="39" xfId="6" applyFont="1" applyFill="1" applyBorder="1" applyAlignment="1">
      <alignment horizontal="center" vertical="center" wrapText="1"/>
    </xf>
    <xf numFmtId="0" fontId="21" fillId="0" borderId="35" xfId="6" applyFont="1" applyFill="1" applyBorder="1" applyAlignment="1">
      <alignment horizontal="center" vertical="justify"/>
    </xf>
    <xf numFmtId="0" fontId="21" fillId="0" borderId="39" xfId="6" applyFont="1" applyFill="1" applyBorder="1" applyAlignment="1">
      <alignment horizontal="center" vertical="justify"/>
    </xf>
    <xf numFmtId="0" fontId="5" fillId="0" borderId="12" xfId="6" applyFont="1" applyFill="1" applyBorder="1" applyAlignment="1">
      <alignment horizontal="left"/>
    </xf>
    <xf numFmtId="0" fontId="5" fillId="0" borderId="2" xfId="6" applyFont="1" applyFill="1" applyBorder="1" applyAlignment="1">
      <alignment horizontal="left"/>
    </xf>
    <xf numFmtId="0" fontId="5" fillId="0" borderId="0" xfId="6" applyFont="1" applyFill="1" applyBorder="1" applyAlignment="1">
      <alignment horizontal="left"/>
    </xf>
    <xf numFmtId="0" fontId="5" fillId="0" borderId="6" xfId="6" applyFont="1" applyFill="1" applyBorder="1" applyAlignment="1">
      <alignment horizontal="left"/>
    </xf>
    <xf numFmtId="0" fontId="5" fillId="0" borderId="7" xfId="6" applyFont="1" applyFill="1" applyBorder="1" applyAlignment="1">
      <alignment horizontal="left"/>
    </xf>
    <xf numFmtId="0" fontId="7" fillId="0" borderId="56" xfId="6" applyFont="1" applyFill="1" applyBorder="1" applyAlignment="1">
      <alignment horizontal="left"/>
    </xf>
    <xf numFmtId="0" fontId="7" fillId="0" borderId="0" xfId="6" applyFont="1" applyFill="1" applyBorder="1" applyAlignment="1">
      <alignment horizontal="left"/>
    </xf>
    <xf numFmtId="0" fontId="7" fillId="0" borderId="55" xfId="6" applyFont="1" applyFill="1" applyBorder="1" applyAlignment="1">
      <alignment horizontal="left"/>
    </xf>
    <xf numFmtId="0" fontId="7" fillId="3" borderId="32" xfId="6" applyFont="1" applyFill="1" applyBorder="1" applyAlignment="1">
      <alignment horizontal="center"/>
    </xf>
    <xf numFmtId="0" fontId="7" fillId="3" borderId="33" xfId="6" applyFont="1" applyFill="1" applyBorder="1" applyAlignment="1">
      <alignment horizontal="center"/>
    </xf>
    <xf numFmtId="0" fontId="7" fillId="0" borderId="25" xfId="6" applyFont="1" applyFill="1" applyBorder="1" applyAlignment="1">
      <alignment horizontal="left"/>
    </xf>
    <xf numFmtId="0" fontId="7" fillId="0" borderId="61" xfId="6" applyFont="1" applyFill="1" applyBorder="1" applyAlignment="1">
      <alignment horizontal="left"/>
    </xf>
    <xf numFmtId="0" fontId="7" fillId="0" borderId="36" xfId="6" applyFont="1" applyFill="1" applyBorder="1" applyAlignment="1">
      <alignment horizontal="left"/>
    </xf>
    <xf numFmtId="0" fontId="7" fillId="0" borderId="25" xfId="6" applyFont="1" applyFill="1" applyBorder="1" applyAlignment="1">
      <alignment horizontal="right"/>
    </xf>
    <xf numFmtId="0" fontId="7" fillId="0" borderId="61" xfId="6" applyFont="1" applyFill="1" applyBorder="1" applyAlignment="1">
      <alignment horizontal="right"/>
    </xf>
    <xf numFmtId="0" fontId="25" fillId="4" borderId="0" xfId="6" applyFont="1" applyFill="1" applyAlignment="1">
      <alignment horizontal="center" vertical="justify"/>
    </xf>
    <xf numFmtId="4" fontId="5" fillId="0" borderId="56" xfId="6" applyNumberFormat="1" applyFont="1" applyFill="1" applyBorder="1" applyAlignment="1">
      <alignment horizontal="right"/>
    </xf>
    <xf numFmtId="4" fontId="5" fillId="0" borderId="0" xfId="6" applyNumberFormat="1" applyFont="1" applyFill="1" applyBorder="1" applyAlignment="1">
      <alignment horizontal="right"/>
    </xf>
    <xf numFmtId="0" fontId="5" fillId="0" borderId="0" xfId="6" applyFont="1" applyFill="1" applyBorder="1" applyAlignment="1">
      <alignment horizontal="right"/>
    </xf>
    <xf numFmtId="9" fontId="5" fillId="0" borderId="2" xfId="6" applyNumberFormat="1" applyFont="1" applyFill="1" applyBorder="1" applyAlignment="1">
      <alignment horizontal="left"/>
    </xf>
    <xf numFmtId="0" fontId="7" fillId="3" borderId="56" xfId="6" applyFont="1" applyFill="1" applyBorder="1" applyAlignment="1">
      <alignment horizontal="center"/>
    </xf>
    <xf numFmtId="0" fontId="7" fillId="3" borderId="0" xfId="6" applyFont="1" applyFill="1" applyBorder="1" applyAlignment="1">
      <alignment horizontal="center"/>
    </xf>
    <xf numFmtId="0" fontId="1" fillId="4" borderId="0" xfId="6" applyFill="1" applyAlignment="1">
      <alignment horizontal="center"/>
    </xf>
    <xf numFmtId="0" fontId="7" fillId="0" borderId="10" xfId="6" applyFont="1" applyFill="1" applyBorder="1" applyAlignment="1">
      <alignment horizontal="left"/>
    </xf>
    <xf numFmtId="4" fontId="5" fillId="3" borderId="56" xfId="6" applyNumberFormat="1" applyFont="1" applyFill="1" applyBorder="1" applyAlignment="1">
      <alignment horizontal="right"/>
    </xf>
    <xf numFmtId="4" fontId="5" fillId="3" borderId="0" xfId="6" applyNumberFormat="1" applyFont="1" applyFill="1" applyBorder="1" applyAlignment="1">
      <alignment horizontal="right"/>
    </xf>
    <xf numFmtId="0" fontId="5" fillId="3" borderId="0" xfId="6" applyFont="1" applyFill="1" applyBorder="1" applyAlignment="1">
      <alignment horizontal="right"/>
    </xf>
    <xf numFmtId="0" fontId="7" fillId="0" borderId="9" xfId="6" applyFont="1" applyFill="1" applyBorder="1" applyAlignment="1">
      <alignment horizontal="left"/>
    </xf>
    <xf numFmtId="4" fontId="7" fillId="0" borderId="10" xfId="6" applyNumberFormat="1" applyFont="1" applyFill="1" applyBorder="1" applyAlignment="1">
      <alignment horizontal="right"/>
    </xf>
    <xf numFmtId="0" fontId="7" fillId="0" borderId="11" xfId="6" applyFont="1" applyFill="1" applyBorder="1" applyAlignment="1">
      <alignment horizontal="right"/>
    </xf>
    <xf numFmtId="0" fontId="5" fillId="0" borderId="56" xfId="6" applyFont="1" applyFill="1" applyBorder="1" applyAlignment="1">
      <alignment horizontal="right"/>
    </xf>
    <xf numFmtId="0" fontId="5" fillId="0" borderId="37" xfId="6" applyFont="1" applyFill="1" applyBorder="1" applyAlignment="1">
      <alignment horizontal="left"/>
    </xf>
    <xf numFmtId="0" fontId="5" fillId="0" borderId="42" xfId="6" applyFont="1" applyFill="1" applyBorder="1" applyAlignment="1">
      <alignment horizontal="left"/>
    </xf>
    <xf numFmtId="4" fontId="5" fillId="0" borderId="37" xfId="6" applyNumberFormat="1" applyFont="1" applyFill="1" applyBorder="1" applyAlignment="1">
      <alignment horizontal="right"/>
    </xf>
    <xf numFmtId="0" fontId="5" fillId="0" borderId="37" xfId="6" applyFont="1" applyFill="1" applyBorder="1" applyAlignment="1">
      <alignment horizontal="right"/>
    </xf>
    <xf numFmtId="4" fontId="5" fillId="0" borderId="7" xfId="6" applyNumberFormat="1" applyFont="1" applyFill="1" applyBorder="1" applyAlignment="1">
      <alignment horizontal="right"/>
    </xf>
    <xf numFmtId="4" fontId="5" fillId="0" borderId="8" xfId="6" applyNumberFormat="1" applyFont="1" applyFill="1" applyBorder="1" applyAlignment="1">
      <alignment horizontal="right"/>
    </xf>
    <xf numFmtId="4" fontId="5" fillId="0" borderId="2" xfId="6" applyNumberFormat="1" applyFont="1" applyFill="1" applyBorder="1" applyAlignment="1">
      <alignment horizontal="right"/>
    </xf>
    <xf numFmtId="4" fontId="5" fillId="0" borderId="13" xfId="6" applyNumberFormat="1" applyFont="1" applyFill="1" applyBorder="1" applyAlignment="1">
      <alignment horizontal="right"/>
    </xf>
    <xf numFmtId="4" fontId="5" fillId="3" borderId="37" xfId="6" applyNumberFormat="1" applyFont="1" applyFill="1" applyBorder="1" applyAlignment="1">
      <alignment horizontal="right"/>
    </xf>
    <xf numFmtId="0" fontId="7" fillId="0" borderId="60" xfId="6" applyFont="1" applyBorder="1" applyAlignment="1">
      <alignment horizontal="center" vertical="center"/>
    </xf>
    <xf numFmtId="0" fontId="7" fillId="0" borderId="53" xfId="6" applyFont="1" applyBorder="1" applyAlignment="1">
      <alignment horizontal="center" vertical="center"/>
    </xf>
    <xf numFmtId="0" fontId="7" fillId="0" borderId="48" xfId="6" applyFont="1" applyBorder="1" applyAlignment="1">
      <alignment horizontal="center"/>
    </xf>
    <xf numFmtId="0" fontId="7" fillId="0" borderId="52" xfId="6" applyFont="1" applyBorder="1" applyAlignment="1">
      <alignment horizontal="center"/>
    </xf>
    <xf numFmtId="0" fontId="7" fillId="0" borderId="49" xfId="6" applyFont="1" applyBorder="1" applyAlignment="1">
      <alignment horizontal="center"/>
    </xf>
    <xf numFmtId="0" fontId="7" fillId="0" borderId="0" xfId="6" applyFont="1" applyAlignment="1">
      <alignment horizontal="center"/>
    </xf>
    <xf numFmtId="0" fontId="4" fillId="0" borderId="0" xfId="6" applyFont="1" applyAlignment="1">
      <alignment horizontal="center"/>
    </xf>
    <xf numFmtId="0" fontId="7" fillId="0" borderId="60" xfId="6" applyFont="1" applyFill="1" applyBorder="1" applyAlignment="1">
      <alignment horizontal="center" vertical="center"/>
    </xf>
    <xf numFmtId="0" fontId="7" fillId="0" borderId="48" xfId="6" applyFont="1" applyFill="1" applyBorder="1" applyAlignment="1">
      <alignment horizontal="center" vertical="center"/>
    </xf>
    <xf numFmtId="0" fontId="7" fillId="0" borderId="6" xfId="6" applyFont="1" applyFill="1" applyBorder="1" applyAlignment="1">
      <alignment horizontal="center"/>
    </xf>
    <xf numFmtId="0" fontId="7" fillId="0" borderId="7" xfId="6" applyFont="1" applyFill="1" applyBorder="1" applyAlignment="1">
      <alignment horizontal="center"/>
    </xf>
    <xf numFmtId="0" fontId="7" fillId="0" borderId="22" xfId="6" applyFont="1" applyFill="1" applyBorder="1" applyAlignment="1">
      <alignment horizontal="center"/>
    </xf>
    <xf numFmtId="0" fontId="7" fillId="0" borderId="8" xfId="6" applyFont="1" applyFill="1" applyBorder="1" applyAlignment="1">
      <alignment horizontal="center"/>
    </xf>
  </cellXfs>
  <cellStyles count="11">
    <cellStyle name="Euro" xfId="2"/>
    <cellStyle name="Euro 2" xfId="4"/>
    <cellStyle name="Euro 3" xfId="5"/>
    <cellStyle name="Moneda 2" xfId="7"/>
    <cellStyle name="Normal" xfId="0" builtinId="0"/>
    <cellStyle name="Normal 2" xfId="3"/>
    <cellStyle name="Normal 2 2" xfId="8"/>
    <cellStyle name="Normal 3" xfId="1"/>
    <cellStyle name="Normal 3 2" xfId="9"/>
    <cellStyle name="Normal 4" xfId="6"/>
    <cellStyle name="Porcentaje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499939</xdr:colOff>
      <xdr:row>4</xdr:row>
      <xdr:rowOff>56147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64307"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236066</xdr:colOff>
      <xdr:row>0</xdr:row>
      <xdr:rowOff>19551</xdr:rowOff>
    </xdr:from>
    <xdr:to>
      <xdr:col>9</xdr:col>
      <xdr:colOff>448139</xdr:colOff>
      <xdr:row>3</xdr:row>
      <xdr:rowOff>160421</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54224" y="19551"/>
          <a:ext cx="1806257" cy="74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810173</xdr:colOff>
      <xdr:row>0</xdr:row>
      <xdr:rowOff>10026</xdr:rowOff>
    </xdr:from>
    <xdr:to>
      <xdr:col>10</xdr:col>
      <xdr:colOff>858282</xdr:colOff>
      <xdr:row>4</xdr:row>
      <xdr:rowOff>59961</xdr:rowOff>
    </xdr:to>
    <xdr:pic>
      <xdr:nvPicPr>
        <xdr:cNvPr id="4" name="Imagen 3" descr="C:\Users\Hugo\Pictures\Logo federal 2022.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22515" y="10026"/>
          <a:ext cx="930425" cy="83198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497432</xdr:colOff>
      <xdr:row>4</xdr:row>
      <xdr:rowOff>57150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64307"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258124</xdr:colOff>
      <xdr:row>0</xdr:row>
      <xdr:rowOff>19551</xdr:rowOff>
    </xdr:from>
    <xdr:to>
      <xdr:col>9</xdr:col>
      <xdr:colOff>216531</xdr:colOff>
      <xdr:row>3</xdr:row>
      <xdr:rowOff>161925</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30424" y="19551"/>
          <a:ext cx="1806257" cy="7424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738986</xdr:colOff>
      <xdr:row>0</xdr:row>
      <xdr:rowOff>10026</xdr:rowOff>
    </xdr:from>
    <xdr:to>
      <xdr:col>10</xdr:col>
      <xdr:colOff>850261</xdr:colOff>
      <xdr:row>4</xdr:row>
      <xdr:rowOff>60964</xdr:rowOff>
    </xdr:to>
    <xdr:pic>
      <xdr:nvPicPr>
        <xdr:cNvPr id="4" name="Imagen 3" descr="C:\Users\Hugo\Pictures\Logo federal 2022.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9136" y="10026"/>
          <a:ext cx="930425" cy="831988"/>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2164307</xdr:colOff>
      <xdr:row>4</xdr:row>
      <xdr:rowOff>57150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64307"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1254978</xdr:colOff>
      <xdr:row>0</xdr:row>
      <xdr:rowOff>48126</xdr:rowOff>
    </xdr:from>
    <xdr:to>
      <xdr:col>3</xdr:col>
      <xdr:colOff>978814</xdr:colOff>
      <xdr:row>3</xdr:row>
      <xdr:rowOff>66675</xdr:rowOff>
    </xdr:to>
    <xdr:pic>
      <xdr:nvPicPr>
        <xdr:cNvPr id="3" name="Imagen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12703" y="48126"/>
          <a:ext cx="1505011" cy="61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987627</xdr:colOff>
      <xdr:row>0</xdr:row>
      <xdr:rowOff>38601</xdr:rowOff>
    </xdr:from>
    <xdr:to>
      <xdr:col>3</xdr:col>
      <xdr:colOff>1764660</xdr:colOff>
      <xdr:row>3</xdr:row>
      <xdr:rowOff>133350</xdr:rowOff>
    </xdr:to>
    <xdr:pic>
      <xdr:nvPicPr>
        <xdr:cNvPr id="4" name="Imagen 3" descr="C:\Users\Hugo\Pictures\Logo federal 2022.pn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26527" y="38601"/>
          <a:ext cx="777033" cy="6948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NGCOORD\Desktop\Anselmo%20OK\UCEF%20ANEXO%20VII%202017\Ajustes\03-DATOS%20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
      <sheetName val="FFM"/>
      <sheetName val="IEPS TyA"/>
      <sheetName val="FOFIR"/>
      <sheetName val="Datos"/>
      <sheetName val="CENSO (2)"/>
      <sheetName val="LEY DE INGRESOS"/>
      <sheetName val="Inicio"/>
      <sheetName val="1. Relleno"/>
      <sheetName val="2. Analizar"/>
      <sheetName val="3. Gráfico"/>
    </sheetNames>
    <sheetDataSet>
      <sheetData sheetId="0"/>
      <sheetData sheetId="1"/>
      <sheetData sheetId="2"/>
      <sheetData sheetId="3"/>
      <sheetData sheetId="4"/>
      <sheetData sheetId="5"/>
      <sheetData sheetId="6">
        <row r="13">
          <cell r="C13">
            <v>45920944</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U77"/>
  <sheetViews>
    <sheetView zoomScale="95" zoomScaleNormal="95" workbookViewId="0">
      <selection activeCell="I36" sqref="I36"/>
    </sheetView>
  </sheetViews>
  <sheetFormatPr baseColWidth="10" defaultRowHeight="14.25" x14ac:dyDescent="0.2"/>
  <cols>
    <col min="1" max="1" width="19.44140625" style="1" customWidth="1"/>
    <col min="2" max="2" width="11" style="1" customWidth="1"/>
    <col min="3" max="3" width="10.44140625" style="1" customWidth="1"/>
    <col min="4" max="4" width="11.44140625" style="1" customWidth="1"/>
    <col min="5" max="5" width="9.77734375" style="1" customWidth="1"/>
    <col min="6" max="6" width="10.33203125" style="1" bestFit="1" customWidth="1"/>
    <col min="7" max="7" width="8.33203125" style="1" customWidth="1"/>
    <col min="8" max="8" width="10.33203125" style="1" customWidth="1"/>
    <col min="9" max="9" width="8.33203125" style="1" bestFit="1" customWidth="1"/>
    <col min="10" max="10" width="10.33203125" style="1" bestFit="1" customWidth="1"/>
    <col min="11" max="11" width="10.44140625" style="1" customWidth="1"/>
    <col min="12" max="12" width="12.109375" style="1" bestFit="1" customWidth="1"/>
    <col min="13" max="14" width="11.6640625" style="1" bestFit="1" customWidth="1"/>
    <col min="15" max="16384" width="11.5546875" style="1"/>
  </cols>
  <sheetData>
    <row r="1" spans="1:21" ht="16.5" x14ac:dyDescent="0.25">
      <c r="A1" s="330" t="s">
        <v>26</v>
      </c>
      <c r="B1" s="330"/>
      <c r="C1" s="330"/>
      <c r="D1" s="330"/>
      <c r="E1" s="330"/>
      <c r="F1" s="330"/>
      <c r="G1" s="330"/>
      <c r="H1" s="330"/>
      <c r="I1" s="330"/>
      <c r="J1" s="330"/>
      <c r="K1" s="330"/>
    </row>
    <row r="2" spans="1:21" ht="15.75" x14ac:dyDescent="0.25">
      <c r="A2" s="331" t="s">
        <v>27</v>
      </c>
      <c r="B2" s="331"/>
      <c r="C2" s="331"/>
      <c r="D2" s="331"/>
      <c r="E2" s="331"/>
      <c r="F2" s="331"/>
      <c r="G2" s="331"/>
      <c r="H2" s="331"/>
      <c r="I2" s="331"/>
      <c r="J2" s="331"/>
      <c r="K2" s="331"/>
    </row>
    <row r="3" spans="1:21" ht="15" x14ac:dyDescent="0.25">
      <c r="A3" s="337" t="s">
        <v>28</v>
      </c>
      <c r="B3" s="337"/>
      <c r="C3" s="337"/>
      <c r="D3" s="337"/>
      <c r="E3" s="337"/>
      <c r="F3" s="337"/>
      <c r="G3" s="337"/>
      <c r="H3" s="337"/>
      <c r="I3" s="337"/>
      <c r="J3" s="337"/>
      <c r="K3" s="337"/>
    </row>
    <row r="5" spans="1:21" ht="26.25" customHeight="1" x14ac:dyDescent="0.2">
      <c r="A5" s="340" t="s">
        <v>215</v>
      </c>
      <c r="B5" s="340"/>
      <c r="C5" s="340"/>
      <c r="D5" s="340"/>
      <c r="E5" s="340"/>
      <c r="F5" s="340"/>
      <c r="G5" s="340"/>
      <c r="H5" s="340"/>
      <c r="I5" s="340"/>
      <c r="J5" s="340"/>
      <c r="K5" s="340"/>
    </row>
    <row r="6" spans="1:21" ht="15.75" thickBot="1" x14ac:dyDescent="0.3">
      <c r="K6" s="5" t="s">
        <v>33</v>
      </c>
    </row>
    <row r="7" spans="1:21" ht="39.75" customHeight="1" x14ac:dyDescent="0.2">
      <c r="A7" s="332" t="s">
        <v>0</v>
      </c>
      <c r="B7" s="334" t="s">
        <v>23</v>
      </c>
      <c r="C7" s="335"/>
      <c r="D7" s="334" t="s">
        <v>24</v>
      </c>
      <c r="E7" s="335"/>
      <c r="F7" s="336" t="s">
        <v>241</v>
      </c>
      <c r="G7" s="336"/>
      <c r="H7" s="336" t="s">
        <v>242</v>
      </c>
      <c r="I7" s="336"/>
      <c r="J7" s="338" t="s">
        <v>1</v>
      </c>
      <c r="K7" s="339"/>
    </row>
    <row r="8" spans="1:21" ht="28.5" customHeight="1" thickBot="1" x14ac:dyDescent="0.25">
      <c r="A8" s="333"/>
      <c r="B8" s="46" t="s">
        <v>31</v>
      </c>
      <c r="C8" s="46" t="s">
        <v>32</v>
      </c>
      <c r="D8" s="47" t="s">
        <v>31</v>
      </c>
      <c r="E8" s="46" t="s">
        <v>32</v>
      </c>
      <c r="F8" s="46" t="s">
        <v>31</v>
      </c>
      <c r="G8" s="46" t="s">
        <v>32</v>
      </c>
      <c r="H8" s="46" t="s">
        <v>31</v>
      </c>
      <c r="I8" s="46" t="s">
        <v>32</v>
      </c>
      <c r="J8" s="46" t="s">
        <v>31</v>
      </c>
      <c r="K8" s="48" t="s">
        <v>32</v>
      </c>
    </row>
    <row r="9" spans="1:21" x14ac:dyDescent="0.2">
      <c r="A9" s="18" t="s">
        <v>2</v>
      </c>
      <c r="B9" s="19">
        <f>C9/$C$29*100</f>
        <v>3.6399340814262748</v>
      </c>
      <c r="C9" s="20">
        <v>50780695.740000002</v>
      </c>
      <c r="D9" s="21">
        <f>E9/$E$29*100</f>
        <v>3.3635370049571458</v>
      </c>
      <c r="E9" s="22">
        <v>17047982.300000001</v>
      </c>
      <c r="F9" s="19">
        <f>G9/$G$29*100</f>
        <v>4.1983634226469375</v>
      </c>
      <c r="G9" s="20">
        <v>1134965.3999999999</v>
      </c>
      <c r="H9" s="19">
        <f>I9/$I$29*100</f>
        <v>2.4810027185371117</v>
      </c>
      <c r="I9" s="20">
        <v>1562986.1899999997</v>
      </c>
      <c r="J9" s="19">
        <f>K9/$K$29*100</f>
        <v>3.540532759998289</v>
      </c>
      <c r="K9" s="23">
        <f t="shared" ref="K9:K28" si="0">C9+E9+G9+I9</f>
        <v>70526629.63000001</v>
      </c>
      <c r="M9" s="277"/>
      <c r="N9" s="277"/>
      <c r="O9" s="277"/>
      <c r="P9" s="277"/>
      <c r="S9" s="285"/>
    </row>
    <row r="10" spans="1:21" x14ac:dyDescent="0.2">
      <c r="A10" s="24" t="s">
        <v>3</v>
      </c>
      <c r="B10" s="25">
        <f t="shared" ref="B10:B28" si="1">C10/$C$29*100</f>
        <v>2.4928730727743491</v>
      </c>
      <c r="C10" s="26">
        <v>34778055.370000005</v>
      </c>
      <c r="D10" s="27">
        <f t="shared" ref="D10:D28" si="2">E10/$E$29*100</f>
        <v>2.219730391631217</v>
      </c>
      <c r="E10" s="28">
        <v>11250634.189999999</v>
      </c>
      <c r="F10" s="25">
        <f t="shared" ref="F10:F28" si="3">G10/$G$29*100</f>
        <v>5.5898835618985947</v>
      </c>
      <c r="G10" s="26">
        <v>1511142.27</v>
      </c>
      <c r="H10" s="25">
        <f t="shared" ref="H10:H28" si="4">I10/$I$29*100</f>
        <v>0.99470247825146385</v>
      </c>
      <c r="I10" s="26">
        <v>626644.31000000006</v>
      </c>
      <c r="J10" s="25">
        <f t="shared" ref="J10:J28" si="5">K10/$K$29*100</f>
        <v>2.4180226334650374</v>
      </c>
      <c r="K10" s="29">
        <f t="shared" si="0"/>
        <v>48166476.140000008</v>
      </c>
      <c r="M10" s="277"/>
      <c r="N10" s="277"/>
      <c r="O10" s="277"/>
      <c r="P10" s="277"/>
    </row>
    <row r="11" spans="1:21" x14ac:dyDescent="0.2">
      <c r="A11" s="24" t="s">
        <v>4</v>
      </c>
      <c r="B11" s="25">
        <f t="shared" si="1"/>
        <v>2.4190701318099035</v>
      </c>
      <c r="C11" s="26">
        <v>33748431.040000007</v>
      </c>
      <c r="D11" s="27">
        <f t="shared" si="2"/>
        <v>2.0697575392779668</v>
      </c>
      <c r="E11" s="28">
        <v>10490501.470000001</v>
      </c>
      <c r="F11" s="25">
        <f t="shared" si="3"/>
        <v>5.8470122338265424</v>
      </c>
      <c r="G11" s="26">
        <v>1580653.2</v>
      </c>
      <c r="H11" s="25">
        <f t="shared" si="4"/>
        <v>0.72500535358846085</v>
      </c>
      <c r="I11" s="26">
        <v>456740.07000000007</v>
      </c>
      <c r="J11" s="25">
        <f t="shared" si="5"/>
        <v>2.3231345138141886</v>
      </c>
      <c r="K11" s="29">
        <f t="shared" si="0"/>
        <v>46276325.780000009</v>
      </c>
      <c r="M11" s="277"/>
      <c r="N11" s="277"/>
      <c r="O11" s="277"/>
      <c r="P11" s="277"/>
    </row>
    <row r="12" spans="1:21" x14ac:dyDescent="0.2">
      <c r="A12" s="24" t="s">
        <v>5</v>
      </c>
      <c r="B12" s="25">
        <f t="shared" si="1"/>
        <v>5.1783220836953774</v>
      </c>
      <c r="C12" s="26">
        <v>72242736.349999994</v>
      </c>
      <c r="D12" s="27">
        <f t="shared" si="2"/>
        <v>5.8336575114506264</v>
      </c>
      <c r="E12" s="28">
        <v>29567710.970000003</v>
      </c>
      <c r="F12" s="25">
        <f t="shared" si="3"/>
        <v>5.0605008845457533</v>
      </c>
      <c r="G12" s="26">
        <v>1368031.5</v>
      </c>
      <c r="H12" s="25">
        <f t="shared" si="4"/>
        <v>16.439614019456883</v>
      </c>
      <c r="I12" s="26">
        <v>10356655.190000001</v>
      </c>
      <c r="J12" s="25">
        <f t="shared" si="5"/>
        <v>5.6996181936108332</v>
      </c>
      <c r="K12" s="29">
        <f t="shared" si="0"/>
        <v>113535134.00999999</v>
      </c>
      <c r="M12" s="277"/>
      <c r="N12" s="277"/>
      <c r="O12" s="277"/>
      <c r="P12" s="277"/>
      <c r="T12" s="285"/>
      <c r="U12" s="285"/>
    </row>
    <row r="13" spans="1:21" x14ac:dyDescent="0.2">
      <c r="A13" s="24" t="s">
        <v>6</v>
      </c>
      <c r="B13" s="25">
        <f t="shared" si="1"/>
        <v>5.4176597913509248</v>
      </c>
      <c r="C13" s="26">
        <v>75581735.090000004</v>
      </c>
      <c r="D13" s="27">
        <f t="shared" si="2"/>
        <v>4.8122640325309431</v>
      </c>
      <c r="E13" s="28">
        <v>24390810.009999998</v>
      </c>
      <c r="F13" s="25">
        <f t="shared" si="3"/>
        <v>3.5404163168523386</v>
      </c>
      <c r="G13" s="26">
        <v>957099.14</v>
      </c>
      <c r="H13" s="25">
        <f t="shared" si="4"/>
        <v>5.185339274916962</v>
      </c>
      <c r="I13" s="26">
        <v>3266668.6000000006</v>
      </c>
      <c r="J13" s="25">
        <f t="shared" si="5"/>
        <v>5.2307966652659434</v>
      </c>
      <c r="K13" s="29">
        <f t="shared" si="0"/>
        <v>104196312.83999999</v>
      </c>
      <c r="M13" s="277"/>
      <c r="N13" s="277"/>
      <c r="O13" s="277"/>
      <c r="P13" s="277"/>
      <c r="U13" s="285"/>
    </row>
    <row r="14" spans="1:21" x14ac:dyDescent="0.2">
      <c r="A14" s="24" t="s">
        <v>7</v>
      </c>
      <c r="B14" s="25">
        <f t="shared" si="1"/>
        <v>2.2091876524040694</v>
      </c>
      <c r="C14" s="26">
        <v>30820361.989999998</v>
      </c>
      <c r="D14" s="27">
        <f t="shared" si="2"/>
        <v>1.5294549293840176</v>
      </c>
      <c r="E14" s="28">
        <v>7751994.5599999996</v>
      </c>
      <c r="F14" s="25">
        <f t="shared" si="3"/>
        <v>8.4107368597198082</v>
      </c>
      <c r="G14" s="26">
        <v>2273718.2000000002</v>
      </c>
      <c r="H14" s="25">
        <f t="shared" si="4"/>
        <v>2.1243605378243307</v>
      </c>
      <c r="I14" s="26">
        <v>1338308.1600000001</v>
      </c>
      <c r="J14" s="25">
        <f t="shared" si="5"/>
        <v>2.1177134145885161</v>
      </c>
      <c r="K14" s="29">
        <f t="shared" si="0"/>
        <v>42184382.909999996</v>
      </c>
      <c r="M14" s="277"/>
      <c r="N14" s="277"/>
      <c r="O14" s="277"/>
      <c r="P14" s="277"/>
    </row>
    <row r="15" spans="1:21" x14ac:dyDescent="0.2">
      <c r="A15" s="24" t="s">
        <v>8</v>
      </c>
      <c r="B15" s="25">
        <f t="shared" si="1"/>
        <v>1.909207920496474</v>
      </c>
      <c r="C15" s="26">
        <v>26635346.779999994</v>
      </c>
      <c r="D15" s="27">
        <f t="shared" si="2"/>
        <v>1.3718052930376339</v>
      </c>
      <c r="E15" s="28">
        <v>6952952.3000000007</v>
      </c>
      <c r="F15" s="25">
        <f t="shared" si="3"/>
        <v>8.2746099679807017</v>
      </c>
      <c r="G15" s="26">
        <v>2236918.31</v>
      </c>
      <c r="H15" s="25">
        <f t="shared" si="4"/>
        <v>0.73225346944886383</v>
      </c>
      <c r="I15" s="26">
        <v>461306.25000000012</v>
      </c>
      <c r="J15" s="25">
        <f t="shared" si="5"/>
        <v>1.8216328551056034</v>
      </c>
      <c r="K15" s="29">
        <f t="shared" si="0"/>
        <v>36286523.640000001</v>
      </c>
      <c r="M15" s="277"/>
      <c r="N15" s="277"/>
      <c r="O15" s="277"/>
      <c r="P15" s="277"/>
    </row>
    <row r="16" spans="1:21" x14ac:dyDescent="0.2">
      <c r="A16" s="24" t="s">
        <v>9</v>
      </c>
      <c r="B16" s="25">
        <f t="shared" si="1"/>
        <v>3.2215375613831307</v>
      </c>
      <c r="C16" s="26">
        <v>44943648.719999991</v>
      </c>
      <c r="D16" s="27">
        <f t="shared" si="2"/>
        <v>2.9355018795242529</v>
      </c>
      <c r="E16" s="28">
        <v>14878499.630000001</v>
      </c>
      <c r="F16" s="25">
        <f t="shared" si="3"/>
        <v>4.6369946908759205</v>
      </c>
      <c r="G16" s="26">
        <v>1253542.8700000001</v>
      </c>
      <c r="H16" s="25">
        <f t="shared" si="4"/>
        <v>1.8481402231760078</v>
      </c>
      <c r="I16" s="26">
        <v>1164294.43</v>
      </c>
      <c r="J16" s="25">
        <f t="shared" si="5"/>
        <v>3.1245319580947677</v>
      </c>
      <c r="K16" s="29">
        <f t="shared" si="0"/>
        <v>62239985.649999991</v>
      </c>
      <c r="M16" s="277"/>
      <c r="N16" s="277"/>
      <c r="O16" s="277"/>
      <c r="P16" s="277"/>
    </row>
    <row r="17" spans="1:21" x14ac:dyDescent="0.2">
      <c r="A17" s="24" t="s">
        <v>10</v>
      </c>
      <c r="B17" s="25">
        <f t="shared" si="1"/>
        <v>2.9389968215193103</v>
      </c>
      <c r="C17" s="26">
        <v>41001924.770000003</v>
      </c>
      <c r="D17" s="27">
        <f t="shared" si="2"/>
        <v>2.5275400117981981</v>
      </c>
      <c r="E17" s="28">
        <v>12810757.640000002</v>
      </c>
      <c r="F17" s="25">
        <f t="shared" si="3"/>
        <v>5.0605008845457533</v>
      </c>
      <c r="G17" s="26">
        <v>1368031.5</v>
      </c>
      <c r="H17" s="25">
        <f t="shared" si="4"/>
        <v>1.1290500577380702</v>
      </c>
      <c r="I17" s="26">
        <v>711280.82</v>
      </c>
      <c r="J17" s="25">
        <f t="shared" si="5"/>
        <v>2.8058541773707715</v>
      </c>
      <c r="K17" s="29">
        <f t="shared" si="0"/>
        <v>55891994.730000004</v>
      </c>
      <c r="M17" s="277"/>
      <c r="N17" s="277"/>
      <c r="O17" s="277"/>
      <c r="P17" s="277"/>
      <c r="T17" s="285"/>
    </row>
    <row r="18" spans="1:21" x14ac:dyDescent="0.2">
      <c r="A18" s="24" t="s">
        <v>11</v>
      </c>
      <c r="B18" s="25">
        <f t="shared" si="1"/>
        <v>1.8422731335334661</v>
      </c>
      <c r="C18" s="26">
        <v>25701540.02</v>
      </c>
      <c r="D18" s="27">
        <f t="shared" si="2"/>
        <v>1.4386336182581752</v>
      </c>
      <c r="E18" s="28">
        <v>7291669.5800000001</v>
      </c>
      <c r="F18" s="25">
        <f t="shared" si="3"/>
        <v>7.9645429432379098</v>
      </c>
      <c r="G18" s="26">
        <v>2153096.2800000003</v>
      </c>
      <c r="H18" s="25">
        <f t="shared" si="4"/>
        <v>0.83890592486565441</v>
      </c>
      <c r="I18" s="26">
        <v>528495.34</v>
      </c>
      <c r="J18" s="25">
        <f t="shared" si="5"/>
        <v>1.7909235573637736</v>
      </c>
      <c r="K18" s="29">
        <f t="shared" si="0"/>
        <v>35674801.220000006</v>
      </c>
      <c r="M18" s="277"/>
      <c r="N18" s="277"/>
      <c r="O18" s="277"/>
      <c r="P18" s="277"/>
      <c r="S18" s="285"/>
    </row>
    <row r="19" spans="1:21" x14ac:dyDescent="0.2">
      <c r="A19" s="24" t="s">
        <v>12</v>
      </c>
      <c r="B19" s="25">
        <f t="shared" si="1"/>
        <v>3.0726156090001271</v>
      </c>
      <c r="C19" s="26">
        <v>42866039.569999993</v>
      </c>
      <c r="D19" s="27">
        <f t="shared" si="2"/>
        <v>3.1313585402019575</v>
      </c>
      <c r="E19" s="28">
        <v>15871193</v>
      </c>
      <c r="F19" s="25">
        <f t="shared" si="3"/>
        <v>5.0151251799838228</v>
      </c>
      <c r="G19" s="26">
        <v>1355764.8499999996</v>
      </c>
      <c r="H19" s="25">
        <f t="shared" si="4"/>
        <v>2.2504995449061904</v>
      </c>
      <c r="I19" s="26">
        <v>1417773.4200000002</v>
      </c>
      <c r="J19" s="25">
        <f t="shared" si="5"/>
        <v>3.0879243825247213</v>
      </c>
      <c r="K19" s="29">
        <f t="shared" si="0"/>
        <v>61510770.839999996</v>
      </c>
      <c r="M19" s="277"/>
      <c r="N19" s="277"/>
      <c r="O19" s="277"/>
      <c r="P19" s="277"/>
      <c r="T19" s="285"/>
    </row>
    <row r="20" spans="1:21" x14ac:dyDescent="0.2">
      <c r="A20" s="24" t="s">
        <v>13</v>
      </c>
      <c r="B20" s="25">
        <f t="shared" si="1"/>
        <v>3.3676981067927749</v>
      </c>
      <c r="C20" s="26">
        <v>46982733.499999993</v>
      </c>
      <c r="D20" s="27">
        <f t="shared" si="2"/>
        <v>2.9890517901148042</v>
      </c>
      <c r="E20" s="28">
        <v>15149915.68</v>
      </c>
      <c r="F20" s="25">
        <f t="shared" si="3"/>
        <v>4.4630546688455741</v>
      </c>
      <c r="G20" s="26">
        <v>1206520.7599999998</v>
      </c>
      <c r="H20" s="25">
        <f t="shared" si="4"/>
        <v>1.4719163134229791</v>
      </c>
      <c r="I20" s="26">
        <v>927280.27</v>
      </c>
      <c r="J20" s="25">
        <f t="shared" si="5"/>
        <v>3.2262632360431978</v>
      </c>
      <c r="K20" s="29">
        <f t="shared" si="0"/>
        <v>64266450.209999993</v>
      </c>
      <c r="M20" s="277"/>
      <c r="N20" s="277"/>
      <c r="O20" s="277"/>
      <c r="P20" s="277"/>
      <c r="R20" s="285"/>
    </row>
    <row r="21" spans="1:21" x14ac:dyDescent="0.2">
      <c r="A21" s="24" t="s">
        <v>14</v>
      </c>
      <c r="B21" s="25">
        <f t="shared" si="1"/>
        <v>4.360638498078738</v>
      </c>
      <c r="C21" s="26">
        <v>60835238.180000007</v>
      </c>
      <c r="D21" s="27">
        <f t="shared" si="2"/>
        <v>4.2514994360880713</v>
      </c>
      <c r="E21" s="28">
        <v>21548592.16</v>
      </c>
      <c r="F21" s="25">
        <f t="shared" si="3"/>
        <v>3.5177285200580446</v>
      </c>
      <c r="G21" s="26">
        <v>950965.83</v>
      </c>
      <c r="H21" s="25">
        <f t="shared" si="4"/>
        <v>2.6428424479280248</v>
      </c>
      <c r="I21" s="26">
        <v>1664942.25</v>
      </c>
      <c r="J21" s="25">
        <f t="shared" si="5"/>
        <v>4.2671025121450308</v>
      </c>
      <c r="K21" s="29">
        <f t="shared" si="0"/>
        <v>84999738.420000002</v>
      </c>
      <c r="M21" s="277"/>
      <c r="N21" s="277"/>
      <c r="O21" s="277"/>
      <c r="P21" s="277"/>
      <c r="R21" s="285"/>
    </row>
    <row r="22" spans="1:21" x14ac:dyDescent="0.2">
      <c r="A22" s="24" t="s">
        <v>25</v>
      </c>
      <c r="B22" s="25">
        <f t="shared" si="1"/>
        <v>2.3032545978928081</v>
      </c>
      <c r="C22" s="26">
        <v>32132689.310000002</v>
      </c>
      <c r="D22" s="27">
        <f t="shared" si="2"/>
        <v>1.8721047010178091</v>
      </c>
      <c r="E22" s="28">
        <v>9488704.2300000023</v>
      </c>
      <c r="F22" s="25">
        <f t="shared" si="3"/>
        <v>6.2856435760377529</v>
      </c>
      <c r="G22" s="26">
        <v>1699230.69</v>
      </c>
      <c r="H22" s="25">
        <f t="shared" si="4"/>
        <v>0.49742821755817446</v>
      </c>
      <c r="I22" s="26">
        <v>313370.65000000008</v>
      </c>
      <c r="J22" s="25">
        <f t="shared" si="5"/>
        <v>2.1904859077020609</v>
      </c>
      <c r="K22" s="29">
        <f t="shared" si="0"/>
        <v>43633994.880000003</v>
      </c>
      <c r="M22" s="277"/>
      <c r="N22" s="277"/>
      <c r="O22" s="277"/>
      <c r="P22" s="277"/>
      <c r="U22" s="285"/>
    </row>
    <row r="23" spans="1:21" x14ac:dyDescent="0.2">
      <c r="A23" s="24" t="s">
        <v>15</v>
      </c>
      <c r="B23" s="25">
        <f t="shared" si="1"/>
        <v>2.7953364106460725</v>
      </c>
      <c r="C23" s="26">
        <v>38997719.350000001</v>
      </c>
      <c r="D23" s="27">
        <f t="shared" si="2"/>
        <v>2.5438711294577607</v>
      </c>
      <c r="E23" s="28">
        <v>12893531.400000002</v>
      </c>
      <c r="F23" s="25">
        <f t="shared" si="3"/>
        <v>5.0605008845457533</v>
      </c>
      <c r="G23" s="26">
        <v>1368031.5</v>
      </c>
      <c r="H23" s="25">
        <f t="shared" si="4"/>
        <v>1.5159416115153317</v>
      </c>
      <c r="I23" s="26">
        <v>955015.40000000014</v>
      </c>
      <c r="J23" s="25">
        <f t="shared" si="5"/>
        <v>2.7216315014219008</v>
      </c>
      <c r="K23" s="29">
        <f t="shared" si="0"/>
        <v>54214297.649999999</v>
      </c>
      <c r="M23" s="277"/>
      <c r="N23" s="277"/>
      <c r="O23" s="277"/>
      <c r="P23" s="277"/>
      <c r="T23" s="285"/>
    </row>
    <row r="24" spans="1:21" x14ac:dyDescent="0.2">
      <c r="A24" s="24" t="s">
        <v>16</v>
      </c>
      <c r="B24" s="25">
        <f t="shared" si="1"/>
        <v>7.7542285219527436</v>
      </c>
      <c r="C24" s="26">
        <v>108179189.64000002</v>
      </c>
      <c r="D24" s="27">
        <f t="shared" si="2"/>
        <v>9.0198888765770384</v>
      </c>
      <c r="E24" s="28">
        <v>45717025.170000002</v>
      </c>
      <c r="F24" s="25">
        <f t="shared" si="3"/>
        <v>2.5043387959320635</v>
      </c>
      <c r="G24" s="26">
        <v>677010.92</v>
      </c>
      <c r="H24" s="25">
        <f t="shared" si="4"/>
        <v>6.1496761227497441</v>
      </c>
      <c r="I24" s="26">
        <v>3874183.120000001</v>
      </c>
      <c r="J24" s="25">
        <f t="shared" si="5"/>
        <v>7.9542754944245839</v>
      </c>
      <c r="K24" s="29">
        <f t="shared" si="0"/>
        <v>158447408.84999999</v>
      </c>
      <c r="M24" s="277"/>
      <c r="N24" s="277"/>
      <c r="O24" s="277"/>
      <c r="P24" s="277"/>
    </row>
    <row r="25" spans="1:21" x14ac:dyDescent="0.2">
      <c r="A25" s="24" t="s">
        <v>17</v>
      </c>
      <c r="B25" s="25">
        <f t="shared" si="1"/>
        <v>3.5994664609095941</v>
      </c>
      <c r="C25" s="26">
        <v>50216132.239999995</v>
      </c>
      <c r="D25" s="27">
        <f t="shared" si="2"/>
        <v>3.2116593287963382</v>
      </c>
      <c r="E25" s="28">
        <v>16278195.039999999</v>
      </c>
      <c r="F25" s="25">
        <f t="shared" si="3"/>
        <v>4.3042398693388337</v>
      </c>
      <c r="G25" s="26">
        <v>1163587.53</v>
      </c>
      <c r="H25" s="25">
        <f t="shared" si="4"/>
        <v>2.6169468207122852</v>
      </c>
      <c r="I25" s="26">
        <v>1648628.48</v>
      </c>
      <c r="J25" s="25">
        <f t="shared" si="5"/>
        <v>3.4792827657839198</v>
      </c>
      <c r="K25" s="29">
        <f t="shared" si="0"/>
        <v>69306543.289999992</v>
      </c>
      <c r="M25" s="277"/>
      <c r="N25" s="277"/>
      <c r="O25" s="277"/>
      <c r="P25" s="277"/>
      <c r="S25" s="285"/>
    </row>
    <row r="26" spans="1:21" x14ac:dyDescent="0.2">
      <c r="A26" s="24" t="s">
        <v>18</v>
      </c>
      <c r="B26" s="25">
        <f t="shared" si="1"/>
        <v>34.023974480440529</v>
      </c>
      <c r="C26" s="26">
        <v>474668237.75000006</v>
      </c>
      <c r="D26" s="27">
        <f t="shared" si="2"/>
        <v>37.646897714540131</v>
      </c>
      <c r="E26" s="28">
        <v>190812125.73000008</v>
      </c>
      <c r="F26" s="25">
        <f t="shared" si="3"/>
        <v>1.4985117570501119</v>
      </c>
      <c r="G26" s="26">
        <v>405100.47</v>
      </c>
      <c r="H26" s="25">
        <f t="shared" si="4"/>
        <v>44.859229300902896</v>
      </c>
      <c r="I26" s="26">
        <v>28260491.359999999</v>
      </c>
      <c r="J26" s="25">
        <f t="shared" si="5"/>
        <v>34.84707135288869</v>
      </c>
      <c r="K26" s="29">
        <f t="shared" si="0"/>
        <v>694145955.31000018</v>
      </c>
      <c r="M26" s="277"/>
      <c r="N26" s="277"/>
      <c r="O26" s="277"/>
      <c r="P26" s="277"/>
    </row>
    <row r="27" spans="1:21" x14ac:dyDescent="0.2">
      <c r="A27" s="24" t="s">
        <v>19</v>
      </c>
      <c r="B27" s="25">
        <f t="shared" si="1"/>
        <v>3.7364729892637185</v>
      </c>
      <c r="C27" s="26">
        <v>52127509.390000001</v>
      </c>
      <c r="D27" s="27">
        <f t="shared" si="2"/>
        <v>3.9083986209341894</v>
      </c>
      <c r="E27" s="28">
        <v>19809596.389999997</v>
      </c>
      <c r="F27" s="25">
        <f t="shared" si="3"/>
        <v>4.0697989942051791</v>
      </c>
      <c r="G27" s="26">
        <v>1100209.9099999997</v>
      </c>
      <c r="H27" s="25">
        <f t="shared" si="4"/>
        <v>1.9948777666900028</v>
      </c>
      <c r="I27" s="26">
        <v>1256736.3899999999</v>
      </c>
      <c r="J27" s="25">
        <f t="shared" si="5"/>
        <v>3.7296624926249007</v>
      </c>
      <c r="K27" s="29">
        <f t="shared" si="0"/>
        <v>74294052.079999998</v>
      </c>
      <c r="M27" s="277"/>
      <c r="N27" s="277"/>
      <c r="O27" s="277"/>
      <c r="P27" s="277"/>
      <c r="R27" s="285"/>
      <c r="T27" s="285"/>
    </row>
    <row r="28" spans="1:21" ht="15" thickBot="1" x14ac:dyDescent="0.25">
      <c r="A28" s="30" t="s">
        <v>20</v>
      </c>
      <c r="B28" s="31">
        <f t="shared" si="1"/>
        <v>3.7172520746296249</v>
      </c>
      <c r="C28" s="32">
        <v>51859358.539999999</v>
      </c>
      <c r="D28" s="33">
        <f t="shared" si="2"/>
        <v>3.3233876504217124</v>
      </c>
      <c r="E28" s="34">
        <v>16844486.550000004</v>
      </c>
      <c r="F28" s="31">
        <f t="shared" si="3"/>
        <v>4.6974959878725926</v>
      </c>
      <c r="G28" s="32">
        <v>1269898.5</v>
      </c>
      <c r="H28" s="31">
        <f t="shared" si="4"/>
        <v>3.5022677958105577</v>
      </c>
      <c r="I28" s="32">
        <v>2206364.4500000002</v>
      </c>
      <c r="J28" s="31">
        <f t="shared" si="5"/>
        <v>3.6235396257632835</v>
      </c>
      <c r="K28" s="35">
        <f t="shared" si="0"/>
        <v>72180108.040000007</v>
      </c>
      <c r="M28" s="277"/>
      <c r="N28" s="277"/>
      <c r="O28" s="277"/>
      <c r="P28" s="277"/>
    </row>
    <row r="29" spans="1:21" ht="15" thickBot="1" x14ac:dyDescent="0.25">
      <c r="A29" s="49" t="s">
        <v>1</v>
      </c>
      <c r="B29" s="50">
        <f>SUM(B9:B28)</f>
        <v>100.00000000000001</v>
      </c>
      <c r="C29" s="51">
        <f>SUM(C9:C28)</f>
        <v>1395099323.3399999</v>
      </c>
      <c r="D29" s="50">
        <f>SUM(D9:D28)</f>
        <v>100</v>
      </c>
      <c r="E29" s="51">
        <f t="shared" ref="E29:I29" si="6">SUM(E9:E28)</f>
        <v>506846878.00000012</v>
      </c>
      <c r="F29" s="50">
        <f t="shared" si="6"/>
        <v>100</v>
      </c>
      <c r="G29" s="51">
        <f t="shared" si="6"/>
        <v>27033519.630000003</v>
      </c>
      <c r="H29" s="50">
        <f t="shared" si="6"/>
        <v>100</v>
      </c>
      <c r="I29" s="51">
        <f t="shared" si="6"/>
        <v>62998165.150000006</v>
      </c>
      <c r="J29" s="50">
        <f>SUM(J9:J28)</f>
        <v>100.00000000000001</v>
      </c>
      <c r="K29" s="52">
        <f>SUM(K9:K28)</f>
        <v>1991977886.1199999</v>
      </c>
      <c r="M29" s="277"/>
      <c r="N29" s="277"/>
      <c r="O29" s="277"/>
      <c r="P29" s="277"/>
      <c r="R29" s="277"/>
      <c r="S29" s="277"/>
      <c r="T29" s="277"/>
      <c r="U29" s="277"/>
    </row>
    <row r="30" spans="1:21" x14ac:dyDescent="0.2">
      <c r="A30" s="38" t="s">
        <v>36</v>
      </c>
      <c r="B30" s="36"/>
      <c r="C30" s="37"/>
      <c r="D30" s="36"/>
      <c r="E30" s="37"/>
      <c r="F30" s="36"/>
      <c r="G30" s="37"/>
      <c r="H30" s="37"/>
      <c r="I30" s="37"/>
      <c r="J30" s="36"/>
      <c r="K30" s="36"/>
    </row>
    <row r="31" spans="1:21" x14ac:dyDescent="0.2">
      <c r="A31" s="38"/>
      <c r="B31" s="36"/>
      <c r="C31" s="37"/>
      <c r="D31" s="36"/>
      <c r="E31" s="37"/>
      <c r="F31" s="36"/>
      <c r="G31" s="37"/>
      <c r="H31" s="37"/>
      <c r="I31" s="37"/>
      <c r="J31" s="36"/>
      <c r="K31" s="36"/>
    </row>
    <row r="32" spans="1:21" ht="14.25" customHeight="1" x14ac:dyDescent="0.2">
      <c r="A32" s="329" t="s">
        <v>228</v>
      </c>
      <c r="B32" s="329"/>
      <c r="C32" s="329"/>
      <c r="D32" s="329"/>
      <c r="E32" s="329"/>
      <c r="F32" s="329"/>
      <c r="G32" s="329"/>
      <c r="H32" s="329"/>
      <c r="I32" s="329"/>
      <c r="J32" s="329"/>
      <c r="K32" s="329"/>
    </row>
    <row r="33" spans="1:17" x14ac:dyDescent="0.2">
      <c r="A33" s="38" t="s">
        <v>229</v>
      </c>
      <c r="B33" s="39"/>
      <c r="C33" s="40"/>
      <c r="D33" s="39"/>
      <c r="E33" s="39"/>
      <c r="F33" s="40"/>
      <c r="G33" s="40"/>
      <c r="H33" s="40"/>
      <c r="I33" s="41"/>
      <c r="J33" s="41"/>
      <c r="K33" s="41"/>
    </row>
    <row r="34" spans="1:17" x14ac:dyDescent="0.2">
      <c r="A34" s="38"/>
      <c r="B34" s="42"/>
      <c r="C34" s="278"/>
      <c r="D34" s="36"/>
      <c r="E34" s="280"/>
      <c r="F34" s="282"/>
      <c r="G34" s="282"/>
      <c r="H34" s="282"/>
      <c r="I34" s="283"/>
      <c r="J34" s="43"/>
      <c r="K34" s="290"/>
      <c r="L34" s="286"/>
      <c r="M34" s="286"/>
      <c r="N34" s="286"/>
      <c r="O34" s="286"/>
      <c r="P34" s="286"/>
      <c r="Q34" s="286"/>
    </row>
    <row r="35" spans="1:17" x14ac:dyDescent="0.2">
      <c r="A35" s="9"/>
      <c r="B35" s="42"/>
      <c r="C35" s="278"/>
      <c r="D35" s="36"/>
      <c r="E35" s="280"/>
      <c r="F35" s="282"/>
      <c r="G35" s="282"/>
      <c r="H35" s="282"/>
      <c r="I35" s="283"/>
      <c r="J35" s="7"/>
      <c r="K35" s="290"/>
      <c r="L35" s="286"/>
      <c r="M35" s="286"/>
      <c r="N35" s="286"/>
      <c r="O35" s="286"/>
      <c r="P35" s="286"/>
      <c r="Q35" s="286"/>
    </row>
    <row r="36" spans="1:17" x14ac:dyDescent="0.2">
      <c r="A36" s="9"/>
      <c r="B36" s="42"/>
      <c r="C36" s="278"/>
      <c r="D36" s="36"/>
      <c r="E36" s="280"/>
      <c r="F36" s="282"/>
      <c r="G36" s="282"/>
      <c r="H36" s="282"/>
      <c r="I36" s="283"/>
      <c r="J36" s="7"/>
      <c r="K36" s="290"/>
      <c r="L36" s="286"/>
      <c r="M36" s="286"/>
      <c r="N36" s="286"/>
      <c r="O36" s="286"/>
      <c r="P36" s="286"/>
      <c r="Q36" s="286"/>
    </row>
    <row r="37" spans="1:17" x14ac:dyDescent="0.2">
      <c r="A37" s="9"/>
      <c r="B37" s="42"/>
      <c r="C37" s="278"/>
      <c r="D37" s="36"/>
      <c r="E37" s="280"/>
      <c r="F37" s="282"/>
      <c r="G37" s="282"/>
      <c r="H37" s="282"/>
      <c r="I37" s="283"/>
      <c r="J37" s="7"/>
      <c r="K37" s="290"/>
      <c r="L37" s="286"/>
      <c r="M37" s="286"/>
      <c r="N37" s="286"/>
      <c r="O37" s="286"/>
      <c r="P37" s="286"/>
      <c r="Q37" s="286"/>
    </row>
    <row r="38" spans="1:17" x14ac:dyDescent="0.2">
      <c r="A38" s="9"/>
      <c r="B38" s="42"/>
      <c r="C38" s="278"/>
      <c r="D38" s="36"/>
      <c r="E38" s="280"/>
      <c r="F38" s="282"/>
      <c r="G38" s="282"/>
      <c r="H38" s="282"/>
      <c r="I38" s="283"/>
      <c r="J38" s="7"/>
      <c r="K38" s="290"/>
      <c r="L38" s="286"/>
      <c r="M38" s="286"/>
      <c r="N38" s="286"/>
      <c r="O38" s="286"/>
      <c r="P38" s="286"/>
      <c r="Q38" s="286"/>
    </row>
    <row r="39" spans="1:17" x14ac:dyDescent="0.2">
      <c r="A39" s="9"/>
      <c r="B39" s="42"/>
      <c r="C39" s="278"/>
      <c r="D39" s="36"/>
      <c r="E39" s="280"/>
      <c r="F39" s="282"/>
      <c r="G39" s="282"/>
      <c r="H39" s="282"/>
      <c r="I39" s="283"/>
      <c r="J39" s="7"/>
      <c r="K39" s="290"/>
      <c r="L39" s="286"/>
      <c r="M39" s="286"/>
      <c r="N39" s="286"/>
      <c r="O39" s="286"/>
      <c r="P39" s="286"/>
      <c r="Q39" s="286"/>
    </row>
    <row r="40" spans="1:17" x14ac:dyDescent="0.2">
      <c r="A40" s="9"/>
      <c r="B40" s="42"/>
      <c r="C40" s="278"/>
      <c r="D40" s="36"/>
      <c r="E40" s="280"/>
      <c r="F40" s="282"/>
      <c r="G40" s="282"/>
      <c r="H40" s="282"/>
      <c r="I40" s="283"/>
      <c r="J40" s="7"/>
      <c r="K40" s="290"/>
      <c r="L40" s="286"/>
      <c r="M40" s="286"/>
      <c r="N40" s="286"/>
      <c r="O40" s="286"/>
      <c r="P40" s="286"/>
      <c r="Q40" s="286"/>
    </row>
    <row r="41" spans="1:17" x14ac:dyDescent="0.2">
      <c r="A41" s="9"/>
      <c r="B41" s="42"/>
      <c r="C41" s="278"/>
      <c r="D41" s="36"/>
      <c r="E41" s="280"/>
      <c r="F41" s="282"/>
      <c r="G41" s="282"/>
      <c r="H41" s="282"/>
      <c r="I41" s="283"/>
      <c r="J41" s="7"/>
      <c r="K41" s="290"/>
      <c r="L41" s="286"/>
      <c r="M41" s="286"/>
      <c r="N41" s="286"/>
      <c r="O41" s="286"/>
      <c r="P41" s="286"/>
      <c r="Q41" s="286"/>
    </row>
    <row r="42" spans="1:17" x14ac:dyDescent="0.2">
      <c r="A42" s="9"/>
      <c r="B42" s="42"/>
      <c r="C42" s="278"/>
      <c r="D42" s="36"/>
      <c r="E42" s="280"/>
      <c r="F42" s="282"/>
      <c r="G42" s="282"/>
      <c r="H42" s="282"/>
      <c r="I42" s="283"/>
      <c r="J42" s="7"/>
      <c r="K42" s="290"/>
      <c r="L42" s="286"/>
      <c r="M42" s="286"/>
      <c r="N42" s="286"/>
      <c r="O42" s="286"/>
      <c r="P42" s="286"/>
      <c r="Q42" s="286"/>
    </row>
    <row r="43" spans="1:17" x14ac:dyDescent="0.2">
      <c r="B43" s="42"/>
      <c r="C43" s="278"/>
      <c r="D43" s="36"/>
      <c r="E43" s="280"/>
      <c r="F43" s="282"/>
      <c r="G43" s="282"/>
      <c r="H43" s="282"/>
      <c r="I43" s="283"/>
      <c r="K43" s="290"/>
      <c r="L43" s="286"/>
      <c r="M43" s="286"/>
      <c r="N43" s="286"/>
      <c r="O43" s="286"/>
      <c r="P43" s="286"/>
      <c r="Q43" s="286"/>
    </row>
    <row r="44" spans="1:17" x14ac:dyDescent="0.2">
      <c r="B44" s="42"/>
      <c r="C44" s="278"/>
      <c r="D44" s="36"/>
      <c r="E44" s="280"/>
      <c r="F44" s="282"/>
      <c r="G44" s="282"/>
      <c r="H44" s="282"/>
      <c r="I44" s="283"/>
      <c r="K44" s="290"/>
      <c r="L44" s="286"/>
      <c r="M44" s="286"/>
      <c r="N44" s="286"/>
      <c r="O44" s="286"/>
      <c r="P44" s="286"/>
      <c r="Q44" s="286"/>
    </row>
    <row r="45" spans="1:17" x14ac:dyDescent="0.2">
      <c r="B45" s="42"/>
      <c r="C45" s="278"/>
      <c r="D45" s="36"/>
      <c r="E45" s="280"/>
      <c r="F45" s="282"/>
      <c r="G45" s="282"/>
      <c r="H45" s="282"/>
      <c r="I45" s="283"/>
      <c r="K45" s="290"/>
      <c r="L45" s="286"/>
      <c r="M45" s="286"/>
      <c r="N45" s="286"/>
      <c r="O45" s="286"/>
      <c r="P45" s="286"/>
      <c r="Q45" s="286"/>
    </row>
    <row r="46" spans="1:17" x14ac:dyDescent="0.2">
      <c r="B46" s="42"/>
      <c r="C46" s="278"/>
      <c r="D46" s="36"/>
      <c r="E46" s="280"/>
      <c r="F46" s="282"/>
      <c r="G46" s="282"/>
      <c r="H46" s="282"/>
      <c r="I46" s="283"/>
      <c r="K46" s="290"/>
      <c r="L46" s="286"/>
      <c r="M46" s="286"/>
      <c r="N46" s="286"/>
      <c r="O46" s="286"/>
      <c r="P46" s="286"/>
      <c r="Q46" s="286"/>
    </row>
    <row r="47" spans="1:17" x14ac:dyDescent="0.2">
      <c r="B47" s="42"/>
      <c r="C47" s="278"/>
      <c r="D47" s="36"/>
      <c r="E47" s="280"/>
      <c r="F47" s="282"/>
      <c r="G47" s="282"/>
      <c r="H47" s="282"/>
      <c r="I47" s="283"/>
      <c r="K47" s="290"/>
      <c r="L47" s="286"/>
      <c r="M47" s="286"/>
      <c r="N47" s="286"/>
      <c r="O47" s="286"/>
      <c r="P47" s="286"/>
      <c r="Q47" s="286"/>
    </row>
    <row r="48" spans="1:17" x14ac:dyDescent="0.2">
      <c r="B48" s="42"/>
      <c r="C48" s="278"/>
      <c r="D48" s="36"/>
      <c r="E48" s="280"/>
      <c r="F48" s="282"/>
      <c r="G48" s="282"/>
      <c r="H48" s="282"/>
      <c r="I48" s="283"/>
      <c r="K48" s="290"/>
      <c r="L48" s="286"/>
      <c r="M48" s="286"/>
      <c r="N48" s="286"/>
      <c r="O48" s="286"/>
      <c r="P48" s="286"/>
      <c r="Q48" s="286"/>
    </row>
    <row r="49" spans="2:17" x14ac:dyDescent="0.2">
      <c r="B49" s="42"/>
      <c r="C49" s="278"/>
      <c r="D49" s="36"/>
      <c r="E49" s="280"/>
      <c r="F49" s="282"/>
      <c r="G49" s="282"/>
      <c r="H49" s="282"/>
      <c r="I49" s="283"/>
      <c r="K49" s="290"/>
      <c r="L49" s="286"/>
      <c r="M49" s="286"/>
      <c r="N49" s="286"/>
      <c r="O49" s="286"/>
      <c r="P49" s="286"/>
      <c r="Q49" s="286"/>
    </row>
    <row r="50" spans="2:17" x14ac:dyDescent="0.2">
      <c r="B50" s="42"/>
      <c r="C50" s="278"/>
      <c r="D50" s="36"/>
      <c r="E50" s="280"/>
      <c r="F50" s="282"/>
      <c r="G50" s="282"/>
      <c r="H50" s="282"/>
      <c r="I50" s="283"/>
      <c r="K50" s="290"/>
      <c r="L50" s="286"/>
      <c r="M50" s="286"/>
      <c r="N50" s="286"/>
      <c r="O50" s="286"/>
      <c r="P50" s="286"/>
      <c r="Q50" s="286"/>
    </row>
    <row r="51" spans="2:17" x14ac:dyDescent="0.2">
      <c r="B51" s="42"/>
      <c r="C51" s="278"/>
      <c r="D51" s="36"/>
      <c r="E51" s="280"/>
      <c r="F51" s="282"/>
      <c r="G51" s="282"/>
      <c r="H51" s="282"/>
      <c r="I51" s="283"/>
      <c r="K51" s="290"/>
      <c r="L51" s="286"/>
      <c r="M51" s="286"/>
      <c r="N51" s="286"/>
      <c r="O51" s="286"/>
      <c r="P51" s="286"/>
      <c r="Q51" s="286"/>
    </row>
    <row r="52" spans="2:17" x14ac:dyDescent="0.2">
      <c r="B52" s="42"/>
      <c r="C52" s="278"/>
      <c r="D52" s="36"/>
      <c r="E52" s="280"/>
      <c r="F52" s="282"/>
      <c r="G52" s="282"/>
      <c r="H52" s="282"/>
      <c r="I52" s="283"/>
      <c r="K52" s="290"/>
      <c r="L52" s="286"/>
      <c r="M52" s="286"/>
      <c r="N52" s="286"/>
      <c r="O52" s="286"/>
      <c r="P52" s="286"/>
      <c r="Q52" s="286"/>
    </row>
    <row r="53" spans="2:17" x14ac:dyDescent="0.2">
      <c r="B53" s="42"/>
      <c r="C53" s="278"/>
      <c r="D53" s="36"/>
      <c r="E53" s="280"/>
      <c r="F53" s="282"/>
      <c r="G53" s="282"/>
      <c r="H53" s="282"/>
      <c r="I53" s="283"/>
      <c r="K53" s="290"/>
      <c r="L53" s="286"/>
      <c r="M53" s="286"/>
      <c r="N53" s="286"/>
      <c r="O53" s="286"/>
      <c r="P53" s="286"/>
      <c r="Q53" s="286"/>
    </row>
    <row r="54" spans="2:17" x14ac:dyDescent="0.2">
      <c r="B54" s="42"/>
      <c r="C54" s="279"/>
      <c r="E54" s="281"/>
      <c r="G54" s="277"/>
      <c r="I54" s="281"/>
      <c r="K54" s="286"/>
      <c r="L54" s="286"/>
      <c r="M54" s="286"/>
      <c r="N54" s="286"/>
      <c r="O54" s="286"/>
      <c r="P54" s="286"/>
      <c r="Q54" s="286"/>
    </row>
    <row r="55" spans="2:17" x14ac:dyDescent="0.2">
      <c r="L55" s="286"/>
      <c r="M55" s="286"/>
      <c r="N55" s="286"/>
      <c r="O55" s="286"/>
      <c r="P55" s="286"/>
      <c r="Q55" s="286"/>
    </row>
    <row r="57" spans="2:17" x14ac:dyDescent="0.2">
      <c r="K57" s="286"/>
      <c r="L57" s="286"/>
      <c r="M57" s="286"/>
      <c r="N57" s="286"/>
    </row>
    <row r="58" spans="2:17" x14ac:dyDescent="0.2">
      <c r="K58" s="286"/>
      <c r="L58" s="286"/>
      <c r="M58" s="286"/>
      <c r="N58" s="286"/>
    </row>
    <row r="59" spans="2:17" x14ac:dyDescent="0.2">
      <c r="K59" s="286"/>
      <c r="L59" s="286"/>
      <c r="M59" s="286"/>
      <c r="N59" s="286"/>
    </row>
    <row r="60" spans="2:17" x14ac:dyDescent="0.2">
      <c r="K60" s="286"/>
      <c r="L60" s="286"/>
      <c r="M60" s="286"/>
      <c r="N60" s="286"/>
    </row>
    <row r="61" spans="2:17" x14ac:dyDescent="0.2">
      <c r="K61" s="286"/>
      <c r="L61" s="286"/>
      <c r="M61" s="286"/>
      <c r="N61" s="286"/>
    </row>
    <row r="62" spans="2:17" x14ac:dyDescent="0.2">
      <c r="K62" s="286"/>
      <c r="L62" s="286"/>
      <c r="M62" s="286"/>
      <c r="N62" s="286"/>
    </row>
    <row r="63" spans="2:17" x14ac:dyDescent="0.2">
      <c r="K63" s="286"/>
      <c r="L63" s="286"/>
      <c r="M63" s="286"/>
      <c r="N63" s="286"/>
    </row>
    <row r="64" spans="2:17" x14ac:dyDescent="0.2">
      <c r="K64" s="286"/>
      <c r="L64" s="286"/>
      <c r="M64" s="286"/>
      <c r="N64" s="286"/>
    </row>
    <row r="65" spans="11:14" x14ac:dyDescent="0.2">
      <c r="K65" s="286"/>
      <c r="L65" s="286"/>
      <c r="M65" s="286"/>
      <c r="N65" s="286"/>
    </row>
    <row r="66" spans="11:14" x14ac:dyDescent="0.2">
      <c r="K66" s="286"/>
      <c r="L66" s="286"/>
      <c r="M66" s="286"/>
      <c r="N66" s="286"/>
    </row>
    <row r="67" spans="11:14" x14ac:dyDescent="0.2">
      <c r="K67" s="286"/>
      <c r="L67" s="286"/>
      <c r="M67" s="286"/>
      <c r="N67" s="286"/>
    </row>
    <row r="68" spans="11:14" x14ac:dyDescent="0.2">
      <c r="K68" s="286"/>
      <c r="L68" s="286"/>
      <c r="M68" s="286"/>
      <c r="N68" s="286"/>
    </row>
    <row r="69" spans="11:14" x14ac:dyDescent="0.2">
      <c r="K69" s="286"/>
      <c r="L69" s="286"/>
      <c r="M69" s="286"/>
      <c r="N69" s="286"/>
    </row>
    <row r="70" spans="11:14" x14ac:dyDescent="0.2">
      <c r="K70" s="286"/>
      <c r="L70" s="286"/>
      <c r="M70" s="286"/>
      <c r="N70" s="286"/>
    </row>
    <row r="71" spans="11:14" x14ac:dyDescent="0.2">
      <c r="K71" s="286"/>
      <c r="L71" s="286"/>
      <c r="M71" s="286"/>
      <c r="N71" s="286"/>
    </row>
    <row r="72" spans="11:14" x14ac:dyDescent="0.2">
      <c r="K72" s="286"/>
      <c r="L72" s="286"/>
      <c r="M72" s="286"/>
      <c r="N72" s="286"/>
    </row>
    <row r="73" spans="11:14" x14ac:dyDescent="0.2">
      <c r="K73" s="286"/>
      <c r="L73" s="286"/>
      <c r="M73" s="286"/>
      <c r="N73" s="286"/>
    </row>
    <row r="74" spans="11:14" x14ac:dyDescent="0.2">
      <c r="K74" s="286"/>
      <c r="L74" s="286"/>
      <c r="M74" s="286"/>
      <c r="N74" s="286"/>
    </row>
    <row r="75" spans="11:14" x14ac:dyDescent="0.2">
      <c r="K75" s="286"/>
      <c r="L75" s="286"/>
      <c r="M75" s="286"/>
      <c r="N75" s="286"/>
    </row>
    <row r="76" spans="11:14" x14ac:dyDescent="0.2">
      <c r="K76" s="286"/>
      <c r="L76" s="286"/>
      <c r="M76" s="286"/>
      <c r="N76" s="286"/>
    </row>
    <row r="77" spans="11:14" x14ac:dyDescent="0.2">
      <c r="K77" s="286"/>
      <c r="L77" s="286"/>
      <c r="M77" s="286"/>
      <c r="N77" s="286"/>
    </row>
  </sheetData>
  <sortState ref="A9:H28">
    <sortCondition ref="A9"/>
  </sortState>
  <mergeCells count="11">
    <mergeCell ref="A32:K32"/>
    <mergeCell ref="A1:K1"/>
    <mergeCell ref="A2:K2"/>
    <mergeCell ref="A7:A8"/>
    <mergeCell ref="B7:C7"/>
    <mergeCell ref="F7:G7"/>
    <mergeCell ref="A3:K3"/>
    <mergeCell ref="J7:K7"/>
    <mergeCell ref="A5:K5"/>
    <mergeCell ref="H7:I7"/>
    <mergeCell ref="D7:E7"/>
  </mergeCells>
  <pageMargins left="0.38" right="0.39370078740157483" top="0.35433070866141736" bottom="0.39370078740157483" header="0.31496062992125984" footer="0.31496062992125984"/>
  <pageSetup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H32"/>
  <sheetViews>
    <sheetView workbookViewId="0">
      <selection activeCell="C48" sqref="C48:H48"/>
    </sheetView>
  </sheetViews>
  <sheetFormatPr baseColWidth="10" defaultRowHeight="15" x14ac:dyDescent="0.25"/>
  <cols>
    <col min="1" max="1" width="17.77734375" style="58" bestFit="1" customWidth="1"/>
    <col min="2" max="7" width="13.21875" style="58" bestFit="1" customWidth="1"/>
    <col min="8" max="16384" width="11.5546875" style="58"/>
  </cols>
  <sheetData>
    <row r="1" spans="1:8" x14ac:dyDescent="0.25">
      <c r="A1" s="455"/>
      <c r="B1" s="455"/>
      <c r="C1" s="455"/>
      <c r="D1" s="455"/>
      <c r="E1" s="455"/>
      <c r="F1" s="455"/>
      <c r="G1" s="455"/>
    </row>
    <row r="2" spans="1:8" x14ac:dyDescent="0.25">
      <c r="A2" s="136"/>
      <c r="B2" s="136"/>
      <c r="C2" s="136"/>
      <c r="D2" s="136"/>
      <c r="E2" s="136"/>
      <c r="F2" s="136"/>
      <c r="G2" s="136"/>
    </row>
    <row r="3" spans="1:8" x14ac:dyDescent="0.25">
      <c r="A3" s="455" t="s">
        <v>210</v>
      </c>
      <c r="B3" s="455"/>
      <c r="C3" s="455"/>
      <c r="D3" s="455"/>
      <c r="E3" s="455"/>
      <c r="F3" s="455"/>
      <c r="G3" s="455"/>
    </row>
    <row r="4" spans="1:8" x14ac:dyDescent="0.25">
      <c r="A4" s="136"/>
      <c r="B4" s="136"/>
      <c r="C4" s="136"/>
      <c r="D4" s="136"/>
      <c r="E4" s="136"/>
      <c r="F4" s="136"/>
      <c r="G4" s="136"/>
    </row>
    <row r="5" spans="1:8" x14ac:dyDescent="0.25">
      <c r="A5" s="455" t="s">
        <v>211</v>
      </c>
      <c r="B5" s="455"/>
      <c r="C5" s="455"/>
      <c r="D5" s="455"/>
      <c r="E5" s="455"/>
      <c r="F5" s="455"/>
      <c r="G5" s="455"/>
    </row>
    <row r="6" spans="1:8" ht="15.75" thickBot="1" x14ac:dyDescent="0.3"/>
    <row r="7" spans="1:8" x14ac:dyDescent="0.25">
      <c r="A7" s="456" t="s">
        <v>212</v>
      </c>
      <c r="B7" s="458">
        <v>2018</v>
      </c>
      <c r="C7" s="459"/>
      <c r="D7" s="460"/>
      <c r="E7" s="458">
        <v>2019</v>
      </c>
      <c r="F7" s="459"/>
      <c r="G7" s="461"/>
      <c r="H7" s="296"/>
    </row>
    <row r="8" spans="1:8" ht="15.75" thickBot="1" x14ac:dyDescent="0.3">
      <c r="A8" s="457"/>
      <c r="B8" s="297" t="s">
        <v>213</v>
      </c>
      <c r="C8" s="298" t="s">
        <v>214</v>
      </c>
      <c r="D8" s="298" t="s">
        <v>40</v>
      </c>
      <c r="E8" s="297" t="s">
        <v>213</v>
      </c>
      <c r="F8" s="298" t="s">
        <v>214</v>
      </c>
      <c r="G8" s="299" t="s">
        <v>40</v>
      </c>
      <c r="H8" s="118"/>
    </row>
    <row r="9" spans="1:8" x14ac:dyDescent="0.25">
      <c r="A9" s="300" t="s">
        <v>188</v>
      </c>
      <c r="B9" s="301">
        <v>3847011</v>
      </c>
      <c r="C9" s="301">
        <v>7359180</v>
      </c>
      <c r="D9" s="302">
        <f t="shared" ref="D9:D28" si="0">B9+C9</f>
        <v>11206191</v>
      </c>
      <c r="E9" s="303">
        <v>3943293</v>
      </c>
      <c r="F9" s="301">
        <v>7394639</v>
      </c>
      <c r="G9" s="302">
        <f t="shared" ref="G9:G28" si="1">E9+F9</f>
        <v>11337932</v>
      </c>
    </row>
    <row r="10" spans="1:8" x14ac:dyDescent="0.25">
      <c r="A10" s="304" t="s">
        <v>3</v>
      </c>
      <c r="B10" s="305">
        <v>2203748</v>
      </c>
      <c r="C10" s="305">
        <v>4292333</v>
      </c>
      <c r="D10" s="306">
        <f t="shared" si="0"/>
        <v>6496081</v>
      </c>
      <c r="E10" s="307">
        <v>2484812</v>
      </c>
      <c r="F10" s="305">
        <v>1991745</v>
      </c>
      <c r="G10" s="306">
        <f t="shared" si="1"/>
        <v>4476557</v>
      </c>
    </row>
    <row r="11" spans="1:8" x14ac:dyDescent="0.25">
      <c r="A11" s="304" t="s">
        <v>4</v>
      </c>
      <c r="B11" s="305">
        <v>2211427</v>
      </c>
      <c r="C11" s="305">
        <v>1095526</v>
      </c>
      <c r="D11" s="306">
        <f t="shared" si="0"/>
        <v>3306953</v>
      </c>
      <c r="E11" s="307">
        <v>1759056</v>
      </c>
      <c r="F11" s="305">
        <v>1291053</v>
      </c>
      <c r="G11" s="306">
        <f t="shared" si="1"/>
        <v>3050109</v>
      </c>
    </row>
    <row r="12" spans="1:8" x14ac:dyDescent="0.25">
      <c r="A12" s="304" t="s">
        <v>189</v>
      </c>
      <c r="B12" s="305">
        <v>170774917</v>
      </c>
      <c r="C12" s="305">
        <v>122745095</v>
      </c>
      <c r="D12" s="306">
        <f t="shared" si="0"/>
        <v>293520012</v>
      </c>
      <c r="E12" s="307">
        <v>189694088</v>
      </c>
      <c r="F12" s="305">
        <v>133955173</v>
      </c>
      <c r="G12" s="306">
        <f t="shared" si="1"/>
        <v>323649261</v>
      </c>
    </row>
    <row r="13" spans="1:8" x14ac:dyDescent="0.25">
      <c r="A13" s="304" t="s">
        <v>6</v>
      </c>
      <c r="B13" s="305">
        <v>15746604</v>
      </c>
      <c r="C13" s="305">
        <v>10379876</v>
      </c>
      <c r="D13" s="306">
        <f t="shared" si="0"/>
        <v>26126480</v>
      </c>
      <c r="E13" s="307">
        <v>49961238</v>
      </c>
      <c r="F13" s="305">
        <v>10048917</v>
      </c>
      <c r="G13" s="306">
        <f t="shared" si="1"/>
        <v>60010155</v>
      </c>
    </row>
    <row r="14" spans="1:8" x14ac:dyDescent="0.25">
      <c r="A14" s="304" t="s">
        <v>190</v>
      </c>
      <c r="B14" s="305">
        <v>33467</v>
      </c>
      <c r="C14" s="305">
        <v>82331</v>
      </c>
      <c r="D14" s="306">
        <f t="shared" si="0"/>
        <v>115798</v>
      </c>
      <c r="E14" s="307">
        <v>38654</v>
      </c>
      <c r="F14" s="305">
        <v>55623</v>
      </c>
      <c r="G14" s="306">
        <f t="shared" si="1"/>
        <v>94277</v>
      </c>
    </row>
    <row r="15" spans="1:8" x14ac:dyDescent="0.25">
      <c r="A15" s="304" t="s">
        <v>8</v>
      </c>
      <c r="B15" s="305">
        <v>13603</v>
      </c>
      <c r="C15" s="305">
        <v>78610</v>
      </c>
      <c r="D15" s="306">
        <f t="shared" si="0"/>
        <v>92213</v>
      </c>
      <c r="E15" s="307">
        <v>12474</v>
      </c>
      <c r="F15" s="305">
        <v>87109</v>
      </c>
      <c r="G15" s="306">
        <f t="shared" si="1"/>
        <v>99583</v>
      </c>
    </row>
    <row r="16" spans="1:8" x14ac:dyDescent="0.25">
      <c r="A16" s="304" t="s">
        <v>9</v>
      </c>
      <c r="B16" s="305">
        <v>5696258</v>
      </c>
      <c r="C16" s="305">
        <v>5984263</v>
      </c>
      <c r="D16" s="306">
        <f t="shared" si="0"/>
        <v>11680521</v>
      </c>
      <c r="E16" s="307">
        <v>4907652</v>
      </c>
      <c r="F16" s="305">
        <v>6976073</v>
      </c>
      <c r="G16" s="306">
        <f t="shared" si="1"/>
        <v>11883725</v>
      </c>
    </row>
    <row r="17" spans="1:8" x14ac:dyDescent="0.25">
      <c r="A17" s="304" t="s">
        <v>10</v>
      </c>
      <c r="B17" s="305">
        <v>2229122</v>
      </c>
      <c r="C17" s="305">
        <v>1191698</v>
      </c>
      <c r="D17" s="306">
        <f t="shared" si="0"/>
        <v>3420820</v>
      </c>
      <c r="E17" s="307">
        <v>1978012</v>
      </c>
      <c r="F17" s="305">
        <v>2312820</v>
      </c>
      <c r="G17" s="306">
        <f t="shared" si="1"/>
        <v>4290832</v>
      </c>
    </row>
    <row r="18" spans="1:8" x14ac:dyDescent="0.25">
      <c r="A18" s="304" t="s">
        <v>11</v>
      </c>
      <c r="B18" s="305">
        <v>2096161</v>
      </c>
      <c r="C18" s="305">
        <v>270627</v>
      </c>
      <c r="D18" s="306">
        <f t="shared" si="0"/>
        <v>2366788</v>
      </c>
      <c r="E18" s="307">
        <v>246157</v>
      </c>
      <c r="F18" s="305">
        <v>314911</v>
      </c>
      <c r="G18" s="306">
        <f t="shared" si="1"/>
        <v>561068</v>
      </c>
    </row>
    <row r="19" spans="1:8" x14ac:dyDescent="0.25">
      <c r="A19" s="304" t="s">
        <v>12</v>
      </c>
      <c r="B19" s="305">
        <v>1480024</v>
      </c>
      <c r="C19" s="305">
        <v>857904</v>
      </c>
      <c r="D19" s="306">
        <f t="shared" si="0"/>
        <v>2337928</v>
      </c>
      <c r="E19" s="307">
        <v>1605974</v>
      </c>
      <c r="F19" s="305">
        <v>916058</v>
      </c>
      <c r="G19" s="306">
        <f t="shared" si="1"/>
        <v>2522032</v>
      </c>
    </row>
    <row r="20" spans="1:8" x14ac:dyDescent="0.25">
      <c r="A20" s="304" t="s">
        <v>13</v>
      </c>
      <c r="B20" s="305">
        <v>532672</v>
      </c>
      <c r="C20" s="305">
        <v>2161785</v>
      </c>
      <c r="D20" s="306">
        <f t="shared" si="0"/>
        <v>2694457</v>
      </c>
      <c r="E20" s="307">
        <v>633445</v>
      </c>
      <c r="F20" s="305">
        <v>2790108</v>
      </c>
      <c r="G20" s="306">
        <f t="shared" si="1"/>
        <v>3423553</v>
      </c>
    </row>
    <row r="21" spans="1:8" x14ac:dyDescent="0.25">
      <c r="A21" s="304" t="s">
        <v>14</v>
      </c>
      <c r="B21" s="305">
        <v>4431219</v>
      </c>
      <c r="C21" s="305">
        <v>2234250</v>
      </c>
      <c r="D21" s="306">
        <f t="shared" si="0"/>
        <v>6665469</v>
      </c>
      <c r="E21" s="307">
        <v>3131776</v>
      </c>
      <c r="F21" s="305">
        <v>2077630</v>
      </c>
      <c r="G21" s="306">
        <f t="shared" si="1"/>
        <v>5209406</v>
      </c>
    </row>
    <row r="22" spans="1:8" x14ac:dyDescent="0.25">
      <c r="A22" s="304" t="s">
        <v>191</v>
      </c>
      <c r="B22" s="305">
        <v>1074974</v>
      </c>
      <c r="C22" s="305">
        <v>746412</v>
      </c>
      <c r="D22" s="306">
        <f t="shared" si="0"/>
        <v>1821386</v>
      </c>
      <c r="E22" s="307">
        <v>974991</v>
      </c>
      <c r="F22" s="305">
        <v>1113293</v>
      </c>
      <c r="G22" s="306">
        <f t="shared" si="1"/>
        <v>2088284</v>
      </c>
    </row>
    <row r="23" spans="1:8" x14ac:dyDescent="0.25">
      <c r="A23" s="304" t="s">
        <v>192</v>
      </c>
      <c r="B23" s="305">
        <v>2058103</v>
      </c>
      <c r="C23" s="305">
        <v>2519056</v>
      </c>
      <c r="D23" s="306">
        <f t="shared" si="0"/>
        <v>4577159</v>
      </c>
      <c r="E23" s="307">
        <v>1585547</v>
      </c>
      <c r="F23" s="305">
        <v>1235071</v>
      </c>
      <c r="G23" s="306">
        <f t="shared" si="1"/>
        <v>2820618</v>
      </c>
    </row>
    <row r="24" spans="1:8" x14ac:dyDescent="0.25">
      <c r="A24" s="304" t="s">
        <v>16</v>
      </c>
      <c r="B24" s="305">
        <v>4902160</v>
      </c>
      <c r="C24" s="305">
        <v>11312920</v>
      </c>
      <c r="D24" s="306">
        <f t="shared" si="0"/>
        <v>16215080</v>
      </c>
      <c r="E24" s="307">
        <v>3990729</v>
      </c>
      <c r="F24" s="305">
        <v>13853238</v>
      </c>
      <c r="G24" s="306">
        <f t="shared" si="1"/>
        <v>17843967</v>
      </c>
    </row>
    <row r="25" spans="1:8" x14ac:dyDescent="0.25">
      <c r="A25" s="304" t="s">
        <v>17</v>
      </c>
      <c r="B25" s="305">
        <v>2588653</v>
      </c>
      <c r="C25" s="305">
        <v>1751273</v>
      </c>
      <c r="D25" s="306">
        <f t="shared" si="0"/>
        <v>4339926</v>
      </c>
      <c r="E25" s="307">
        <v>2735517</v>
      </c>
      <c r="F25" s="305">
        <v>2148057</v>
      </c>
      <c r="G25" s="306">
        <f t="shared" si="1"/>
        <v>4883574</v>
      </c>
    </row>
    <row r="26" spans="1:8" x14ac:dyDescent="0.25">
      <c r="A26" s="304" t="s">
        <v>18</v>
      </c>
      <c r="B26" s="305">
        <v>68254405</v>
      </c>
      <c r="C26" s="305">
        <v>181485941</v>
      </c>
      <c r="D26" s="306">
        <f t="shared" si="0"/>
        <v>249740346</v>
      </c>
      <c r="E26" s="307">
        <v>79247757</v>
      </c>
      <c r="F26" s="305">
        <v>209317554</v>
      </c>
      <c r="G26" s="306">
        <f t="shared" si="1"/>
        <v>288565311</v>
      </c>
    </row>
    <row r="27" spans="1:8" x14ac:dyDescent="0.25">
      <c r="A27" s="304" t="s">
        <v>19</v>
      </c>
      <c r="B27" s="305">
        <v>1341794</v>
      </c>
      <c r="C27" s="305">
        <v>1265479</v>
      </c>
      <c r="D27" s="306">
        <f t="shared" si="0"/>
        <v>2607273</v>
      </c>
      <c r="E27" s="307">
        <v>1542123</v>
      </c>
      <c r="F27" s="305">
        <v>1574486</v>
      </c>
      <c r="G27" s="306">
        <f t="shared" si="1"/>
        <v>3116609</v>
      </c>
    </row>
    <row r="28" spans="1:8" ht="15.75" thickBot="1" x14ac:dyDescent="0.3">
      <c r="A28" s="308" t="s">
        <v>20</v>
      </c>
      <c r="B28" s="309">
        <v>10345095</v>
      </c>
      <c r="C28" s="309">
        <v>27454438</v>
      </c>
      <c r="D28" s="310">
        <f t="shared" si="0"/>
        <v>37799533</v>
      </c>
      <c r="E28" s="311">
        <v>11179656</v>
      </c>
      <c r="F28" s="309">
        <v>34510777</v>
      </c>
      <c r="G28" s="310">
        <f t="shared" si="1"/>
        <v>45690433</v>
      </c>
    </row>
    <row r="29" spans="1:8" ht="15.75" thickBot="1" x14ac:dyDescent="0.3">
      <c r="A29" s="312" t="s">
        <v>86</v>
      </c>
      <c r="B29" s="313">
        <f>SUM(B9:B28)</f>
        <v>301861417</v>
      </c>
      <c r="C29" s="309">
        <f t="shared" ref="C29" si="2">SUM(C9:C28)</f>
        <v>385268997</v>
      </c>
      <c r="D29" s="310">
        <f>SUM(D9:D28)</f>
        <v>687130414</v>
      </c>
      <c r="E29" s="311">
        <f>SUM(E9:E28)</f>
        <v>361652951</v>
      </c>
      <c r="F29" s="311">
        <f>SUM(F9:F28)</f>
        <v>433964335</v>
      </c>
      <c r="G29" s="310">
        <f>SUM(G9:G28)</f>
        <v>795617286</v>
      </c>
      <c r="H29" s="116"/>
    </row>
    <row r="32" spans="1:8" x14ac:dyDescent="0.25">
      <c r="C32" s="146"/>
    </row>
  </sheetData>
  <mergeCells count="6">
    <mergeCell ref="A1:G1"/>
    <mergeCell ref="A3:G3"/>
    <mergeCell ref="A5:G5"/>
    <mergeCell ref="A7:A8"/>
    <mergeCell ref="B7:D7"/>
    <mergeCell ref="E7:G7"/>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U82"/>
  <sheetViews>
    <sheetView tabSelected="1" zoomScaleNormal="100" workbookViewId="0">
      <selection activeCell="E72" sqref="E72"/>
    </sheetView>
  </sheetViews>
  <sheetFormatPr baseColWidth="10" defaultRowHeight="14.25" x14ac:dyDescent="0.2"/>
  <cols>
    <col min="1" max="1" width="19.44140625" style="1" customWidth="1"/>
    <col min="2" max="2" width="10.33203125" style="1" bestFit="1" customWidth="1"/>
    <col min="3" max="3" width="10.5546875" style="1" customWidth="1"/>
    <col min="4" max="4" width="10.44140625" style="1" customWidth="1"/>
    <col min="5" max="5" width="10.88671875" style="1" customWidth="1"/>
    <col min="6" max="6" width="10.33203125" style="1" bestFit="1" customWidth="1"/>
    <col min="7" max="7" width="9.33203125" style="1" customWidth="1"/>
    <col min="8" max="8" width="10.33203125" style="1" bestFit="1" customWidth="1"/>
    <col min="9" max="9" width="11.21875" style="1" customWidth="1"/>
    <col min="10" max="10" width="9.5546875" style="1" customWidth="1"/>
    <col min="11" max="11" width="10.6640625" style="1" customWidth="1"/>
    <col min="12" max="16384" width="11.5546875" style="1"/>
  </cols>
  <sheetData>
    <row r="1" spans="1:21" ht="16.5" x14ac:dyDescent="0.25">
      <c r="A1" s="330" t="s">
        <v>26</v>
      </c>
      <c r="B1" s="330"/>
      <c r="C1" s="330"/>
      <c r="D1" s="330"/>
      <c r="E1" s="330"/>
      <c r="F1" s="330"/>
      <c r="G1" s="330"/>
      <c r="H1" s="330"/>
      <c r="I1" s="330"/>
      <c r="J1" s="330"/>
      <c r="K1" s="330"/>
    </row>
    <row r="2" spans="1:21" ht="15.75" x14ac:dyDescent="0.25">
      <c r="A2" s="331" t="s">
        <v>27</v>
      </c>
      <c r="B2" s="331"/>
      <c r="C2" s="331"/>
      <c r="D2" s="331"/>
      <c r="E2" s="331"/>
      <c r="F2" s="331"/>
      <c r="G2" s="331"/>
      <c r="H2" s="331"/>
      <c r="I2" s="331"/>
      <c r="J2" s="331"/>
      <c r="K2" s="331"/>
    </row>
    <row r="3" spans="1:21" ht="15" x14ac:dyDescent="0.25">
      <c r="A3" s="337" t="s">
        <v>28</v>
      </c>
      <c r="B3" s="337"/>
      <c r="C3" s="337"/>
      <c r="D3" s="337"/>
      <c r="E3" s="337"/>
      <c r="F3" s="337"/>
      <c r="G3" s="337"/>
      <c r="H3" s="337"/>
      <c r="I3" s="337"/>
      <c r="J3" s="337"/>
      <c r="K3" s="337"/>
    </row>
    <row r="4" spans="1:21" x14ac:dyDescent="0.2">
      <c r="A4" s="36"/>
      <c r="B4" s="36"/>
      <c r="C4" s="36"/>
      <c r="D4" s="36"/>
      <c r="E4" s="36"/>
      <c r="F4" s="36"/>
      <c r="G4" s="36"/>
      <c r="H4" s="36"/>
      <c r="I4" s="36"/>
      <c r="J4" s="36"/>
      <c r="K4" s="36"/>
    </row>
    <row r="5" spans="1:21" ht="26.25" customHeight="1" x14ac:dyDescent="0.2">
      <c r="A5" s="343" t="s">
        <v>216</v>
      </c>
      <c r="B5" s="343"/>
      <c r="C5" s="343"/>
      <c r="D5" s="343"/>
      <c r="E5" s="343"/>
      <c r="F5" s="343"/>
      <c r="G5" s="343"/>
      <c r="H5" s="343"/>
      <c r="I5" s="343"/>
      <c r="J5" s="343"/>
      <c r="K5" s="343"/>
    </row>
    <row r="6" spans="1:21" ht="15" thickBot="1" x14ac:dyDescent="0.25">
      <c r="A6" s="36"/>
      <c r="B6" s="36"/>
      <c r="C6" s="36"/>
      <c r="D6" s="36"/>
      <c r="E6" s="36"/>
      <c r="F6" s="36"/>
      <c r="G6" s="36"/>
      <c r="H6" s="36"/>
      <c r="I6" s="36"/>
      <c r="J6" s="36"/>
      <c r="K6" s="44" t="s">
        <v>34</v>
      </c>
    </row>
    <row r="7" spans="1:21" ht="39.75" customHeight="1" x14ac:dyDescent="0.2">
      <c r="A7" s="332" t="s">
        <v>0</v>
      </c>
      <c r="B7" s="336" t="s">
        <v>30</v>
      </c>
      <c r="C7" s="336"/>
      <c r="D7" s="336" t="s">
        <v>24</v>
      </c>
      <c r="E7" s="336"/>
      <c r="F7" s="336" t="s">
        <v>241</v>
      </c>
      <c r="G7" s="336"/>
      <c r="H7" s="336" t="s">
        <v>242</v>
      </c>
      <c r="I7" s="336"/>
      <c r="J7" s="338" t="s">
        <v>1</v>
      </c>
      <c r="K7" s="339"/>
    </row>
    <row r="8" spans="1:21" ht="28.5" customHeight="1" thickBot="1" x14ac:dyDescent="0.25">
      <c r="A8" s="342"/>
      <c r="B8" s="315" t="s">
        <v>31</v>
      </c>
      <c r="C8" s="315" t="s">
        <v>32</v>
      </c>
      <c r="D8" s="316" t="s">
        <v>31</v>
      </c>
      <c r="E8" s="315" t="s">
        <v>32</v>
      </c>
      <c r="F8" s="315" t="s">
        <v>31</v>
      </c>
      <c r="G8" s="315" t="s">
        <v>32</v>
      </c>
      <c r="H8" s="315" t="s">
        <v>31</v>
      </c>
      <c r="I8" s="315" t="s">
        <v>32</v>
      </c>
      <c r="J8" s="315" t="s">
        <v>31</v>
      </c>
      <c r="K8" s="317" t="s">
        <v>32</v>
      </c>
    </row>
    <row r="9" spans="1:21" x14ac:dyDescent="0.2">
      <c r="A9" s="45" t="s">
        <v>2</v>
      </c>
      <c r="B9" s="318">
        <f>C9/$C$29*100</f>
        <v>3.6391946510910813</v>
      </c>
      <c r="C9" s="319">
        <v>49853004.490000002</v>
      </c>
      <c r="D9" s="318">
        <f>E9/$E$29*100</f>
        <v>3.364425587381783</v>
      </c>
      <c r="E9" s="319">
        <v>17039253.43</v>
      </c>
      <c r="F9" s="318">
        <f>G9/$G$29*100</f>
        <v>4.2076706175375458</v>
      </c>
      <c r="G9" s="319">
        <v>1150843.05</v>
      </c>
      <c r="H9" s="320">
        <f>I9/$I$29*100</f>
        <v>2.4826775900707143</v>
      </c>
      <c r="I9" s="319">
        <v>1562885.1999999997</v>
      </c>
      <c r="J9" s="318">
        <f>K9/$K$29*100</f>
        <v>3.5393221750192252</v>
      </c>
      <c r="K9" s="321">
        <f t="shared" ref="K9:K28" si="0">C9+E9+G9+I9</f>
        <v>69605986.170000002</v>
      </c>
      <c r="L9" s="277"/>
      <c r="M9" s="277"/>
      <c r="N9" s="277"/>
      <c r="O9" s="277"/>
      <c r="P9" s="277"/>
      <c r="Q9" s="277"/>
      <c r="S9" s="285"/>
    </row>
    <row r="10" spans="1:21" x14ac:dyDescent="0.2">
      <c r="A10" s="24" t="s">
        <v>3</v>
      </c>
      <c r="B10" s="318">
        <f t="shared" ref="B10:B28" si="1">C10/$C$29*100</f>
        <v>2.4919616059907392</v>
      </c>
      <c r="C10" s="319">
        <v>34137160.840000004</v>
      </c>
      <c r="D10" s="318">
        <f t="shared" ref="D10:D28" si="2">E10/$E$29*100</f>
        <v>2.2207519545009893</v>
      </c>
      <c r="E10" s="28">
        <v>11247077.51</v>
      </c>
      <c r="F10" s="318">
        <f t="shared" ref="F10:F28" si="3">G10/$G$29*100</f>
        <v>5.5830348454365994</v>
      </c>
      <c r="G10" s="28">
        <v>1527019.9200000002</v>
      </c>
      <c r="H10" s="320">
        <f t="shared" ref="H10:H28" si="4">I10/$I$29*100</f>
        <v>0.99541210450317519</v>
      </c>
      <c r="I10" s="319">
        <v>626627.82000000007</v>
      </c>
      <c r="J10" s="27">
        <f t="shared" ref="J10:J28" si="5">K10/$K$29*100</f>
        <v>2.4172043763728919</v>
      </c>
      <c r="K10" s="322">
        <f t="shared" si="0"/>
        <v>47537886.090000004</v>
      </c>
      <c r="L10" s="277"/>
      <c r="M10" s="277"/>
      <c r="N10" s="277"/>
      <c r="O10" s="277"/>
      <c r="P10" s="277"/>
      <c r="Q10" s="277"/>
    </row>
    <row r="11" spans="1:21" x14ac:dyDescent="0.2">
      <c r="A11" s="24" t="s">
        <v>4</v>
      </c>
      <c r="B11" s="318">
        <f t="shared" si="1"/>
        <v>2.4153031043017181</v>
      </c>
      <c r="C11" s="319">
        <v>33087022.830000002</v>
      </c>
      <c r="D11" s="318">
        <f t="shared" si="2"/>
        <v>2.0708534745676821</v>
      </c>
      <c r="E11" s="28">
        <v>10487911.310000001</v>
      </c>
      <c r="F11" s="318">
        <f t="shared" si="3"/>
        <v>5.8371781864931478</v>
      </c>
      <c r="G11" s="28">
        <v>1596530.85</v>
      </c>
      <c r="H11" s="320">
        <f t="shared" si="4"/>
        <v>0.7255282935247076</v>
      </c>
      <c r="I11" s="319">
        <v>456731.65000000008</v>
      </c>
      <c r="J11" s="27">
        <f t="shared" si="5"/>
        <v>2.3201005697939916</v>
      </c>
      <c r="K11" s="322">
        <f t="shared" si="0"/>
        <v>45628196.640000001</v>
      </c>
      <c r="L11" s="277"/>
      <c r="M11" s="277"/>
      <c r="N11" s="277"/>
      <c r="O11" s="277"/>
      <c r="P11" s="277"/>
      <c r="Q11" s="277"/>
    </row>
    <row r="12" spans="1:21" x14ac:dyDescent="0.2">
      <c r="A12" s="24" t="s">
        <v>5</v>
      </c>
      <c r="B12" s="318">
        <f t="shared" si="1"/>
        <v>5.0746604887424684</v>
      </c>
      <c r="C12" s="319">
        <v>69517323.579999998</v>
      </c>
      <c r="D12" s="318">
        <f t="shared" si="2"/>
        <v>5.8164951342587834</v>
      </c>
      <c r="E12" s="28">
        <v>29457847.140000004</v>
      </c>
      <c r="F12" s="318">
        <f t="shared" si="3"/>
        <v>5.0597984388890911</v>
      </c>
      <c r="G12" s="28">
        <v>1383909.1500000001</v>
      </c>
      <c r="H12" s="320">
        <f t="shared" si="4"/>
        <v>16.428697071020391</v>
      </c>
      <c r="I12" s="319">
        <v>10342127.23</v>
      </c>
      <c r="J12" s="27">
        <f t="shared" si="5"/>
        <v>5.6289301919163615</v>
      </c>
      <c r="K12" s="322">
        <f t="shared" si="0"/>
        <v>110701207.10000001</v>
      </c>
      <c r="L12" s="277"/>
      <c r="M12" s="277"/>
      <c r="N12" s="277"/>
      <c r="O12" s="277"/>
      <c r="P12" s="277"/>
      <c r="Q12" s="277"/>
      <c r="T12" s="285"/>
      <c r="U12" s="285"/>
    </row>
    <row r="13" spans="1:21" x14ac:dyDescent="0.2">
      <c r="A13" s="24" t="s">
        <v>6</v>
      </c>
      <c r="B13" s="318">
        <f t="shared" si="1"/>
        <v>5.3843808101170332</v>
      </c>
      <c r="C13" s="319">
        <v>73760154.770000011</v>
      </c>
      <c r="D13" s="318">
        <f t="shared" si="2"/>
        <v>4.8106386664848202</v>
      </c>
      <c r="E13" s="28">
        <v>24363651.169999998</v>
      </c>
      <c r="F13" s="318">
        <f t="shared" si="3"/>
        <v>3.5573624490576701</v>
      </c>
      <c r="G13" s="28">
        <v>972976.79</v>
      </c>
      <c r="H13" s="320">
        <f t="shared" si="4"/>
        <v>5.1874091007477832</v>
      </c>
      <c r="I13" s="319">
        <v>3265556.8900000006</v>
      </c>
      <c r="J13" s="27">
        <f t="shared" si="5"/>
        <v>5.2049158188647651</v>
      </c>
      <c r="K13" s="322">
        <f t="shared" si="0"/>
        <v>102362339.62000002</v>
      </c>
      <c r="L13" s="277"/>
      <c r="M13" s="277"/>
      <c r="N13" s="277"/>
      <c r="O13" s="277"/>
      <c r="P13" s="277"/>
      <c r="Q13" s="277"/>
      <c r="U13" s="285"/>
    </row>
    <row r="14" spans="1:21" x14ac:dyDescent="0.2">
      <c r="A14" s="24" t="s">
        <v>7</v>
      </c>
      <c r="B14" s="318">
        <f t="shared" si="1"/>
        <v>2.1785751538455851</v>
      </c>
      <c r="C14" s="319">
        <v>29844107.649999999</v>
      </c>
      <c r="D14" s="318">
        <f t="shared" si="2"/>
        <v>1.5291436232906543</v>
      </c>
      <c r="E14" s="28">
        <v>7744402.4399999995</v>
      </c>
      <c r="F14" s="318">
        <f t="shared" si="3"/>
        <v>8.3711373015468116</v>
      </c>
      <c r="G14" s="28">
        <v>2289595.85</v>
      </c>
      <c r="H14" s="320">
        <f t="shared" si="4"/>
        <v>2.1259303120765054</v>
      </c>
      <c r="I14" s="319">
        <v>1338307.0900000001</v>
      </c>
      <c r="J14" s="27">
        <f t="shared" si="5"/>
        <v>2.0957703875576073</v>
      </c>
      <c r="K14" s="322">
        <f t="shared" si="0"/>
        <v>41216413.030000001</v>
      </c>
      <c r="L14" s="277"/>
      <c r="M14" s="277"/>
      <c r="N14" s="277"/>
      <c r="O14" s="277"/>
      <c r="P14" s="277"/>
      <c r="Q14" s="277"/>
    </row>
    <row r="15" spans="1:21" x14ac:dyDescent="0.2">
      <c r="A15" s="24" t="s">
        <v>8</v>
      </c>
      <c r="B15" s="318">
        <f t="shared" si="1"/>
        <v>1.8929922193291582</v>
      </c>
      <c r="C15" s="319">
        <v>25931932.379999995</v>
      </c>
      <c r="D15" s="318">
        <f t="shared" si="2"/>
        <v>1.3724813880667535</v>
      </c>
      <c r="E15" s="28">
        <v>6950980.9600000009</v>
      </c>
      <c r="F15" s="318">
        <f t="shared" si="3"/>
        <v>8.2365908784862434</v>
      </c>
      <c r="G15" s="28">
        <v>2252795.96</v>
      </c>
      <c r="H15" s="320">
        <f t="shared" si="4"/>
        <v>0.73279468578885898</v>
      </c>
      <c r="I15" s="319">
        <v>461305.96000000014</v>
      </c>
      <c r="J15" s="27">
        <f t="shared" si="5"/>
        <v>1.8100354927306064</v>
      </c>
      <c r="K15" s="322">
        <f t="shared" si="0"/>
        <v>35597015.259999998</v>
      </c>
      <c r="L15" s="277"/>
      <c r="M15" s="277"/>
      <c r="N15" s="277"/>
      <c r="O15" s="277"/>
      <c r="P15" s="277"/>
      <c r="Q15" s="277"/>
    </row>
    <row r="16" spans="1:21" x14ac:dyDescent="0.2">
      <c r="A16" s="24" t="s">
        <v>9</v>
      </c>
      <c r="B16" s="318">
        <f t="shared" si="1"/>
        <v>3.218991488116711</v>
      </c>
      <c r="C16" s="319">
        <v>44096678.659999989</v>
      </c>
      <c r="D16" s="318">
        <f t="shared" si="2"/>
        <v>2.9362807450889554</v>
      </c>
      <c r="E16" s="28">
        <v>14870898.600000001</v>
      </c>
      <c r="F16" s="318">
        <f t="shared" si="3"/>
        <v>4.6412092624647929</v>
      </c>
      <c r="G16" s="28">
        <v>1269420.5200000003</v>
      </c>
      <c r="H16" s="320">
        <f t="shared" si="4"/>
        <v>1.849375042109237</v>
      </c>
      <c r="I16" s="319">
        <v>1164211.1299999999</v>
      </c>
      <c r="J16" s="27">
        <f t="shared" si="5"/>
        <v>3.1221260156761459</v>
      </c>
      <c r="K16" s="322">
        <f t="shared" si="0"/>
        <v>61401208.909999996</v>
      </c>
      <c r="L16" s="277"/>
      <c r="M16" s="277"/>
      <c r="N16" s="277"/>
      <c r="O16" s="277"/>
      <c r="P16" s="277"/>
      <c r="Q16" s="277"/>
    </row>
    <row r="17" spans="1:21" x14ac:dyDescent="0.2">
      <c r="A17" s="24" t="s">
        <v>10</v>
      </c>
      <c r="B17" s="318">
        <f t="shared" si="1"/>
        <v>2.9334806045817912</v>
      </c>
      <c r="C17" s="319">
        <v>40185490.410000004</v>
      </c>
      <c r="D17" s="318">
        <f t="shared" si="2"/>
        <v>2.5286862269672068</v>
      </c>
      <c r="E17" s="28">
        <v>12806621.620000001</v>
      </c>
      <c r="F17" s="318">
        <f t="shared" si="3"/>
        <v>5.0597984388890911</v>
      </c>
      <c r="G17" s="28">
        <v>1383909.1500000001</v>
      </c>
      <c r="H17" s="320">
        <f t="shared" si="4"/>
        <v>1.1298537605734003</v>
      </c>
      <c r="I17" s="319">
        <v>711260.99</v>
      </c>
      <c r="J17" s="27">
        <f t="shared" si="5"/>
        <v>2.8010757418139196</v>
      </c>
      <c r="K17" s="322">
        <f t="shared" si="0"/>
        <v>55087282.170000002</v>
      </c>
      <c r="L17" s="277"/>
      <c r="M17" s="277"/>
      <c r="N17" s="277"/>
      <c r="O17" s="277"/>
      <c r="P17" s="277"/>
      <c r="Q17" s="277"/>
      <c r="T17" s="285"/>
    </row>
    <row r="18" spans="1:21" x14ac:dyDescent="0.2">
      <c r="A18" s="24" t="s">
        <v>11</v>
      </c>
      <c r="B18" s="318">
        <f t="shared" si="1"/>
        <v>1.8318854462669367</v>
      </c>
      <c r="C18" s="319">
        <v>25094836.119999997</v>
      </c>
      <c r="D18" s="318">
        <f t="shared" si="2"/>
        <v>1.4392922906606904</v>
      </c>
      <c r="E18" s="28">
        <v>7289347.1599999992</v>
      </c>
      <c r="F18" s="318">
        <f t="shared" si="3"/>
        <v>7.9301238126831795</v>
      </c>
      <c r="G18" s="28">
        <v>2168973.9300000002</v>
      </c>
      <c r="H18" s="320">
        <f t="shared" si="4"/>
        <v>0.83952357405907818</v>
      </c>
      <c r="I18" s="319">
        <v>528493.5</v>
      </c>
      <c r="J18" s="27">
        <f t="shared" si="5"/>
        <v>1.7838302583764964</v>
      </c>
      <c r="K18" s="322">
        <f t="shared" si="0"/>
        <v>35081650.710000001</v>
      </c>
      <c r="L18" s="277"/>
      <c r="M18" s="277"/>
      <c r="N18" s="277"/>
      <c r="O18" s="277"/>
      <c r="P18" s="277"/>
      <c r="Q18" s="277"/>
      <c r="S18" s="285"/>
    </row>
    <row r="19" spans="1:21" x14ac:dyDescent="0.2">
      <c r="A19" s="24" t="s">
        <v>12</v>
      </c>
      <c r="B19" s="318">
        <f t="shared" si="1"/>
        <v>3.0627507939931289</v>
      </c>
      <c r="C19" s="319">
        <v>41956351.259999998</v>
      </c>
      <c r="D19" s="318">
        <f t="shared" si="2"/>
        <v>3.132612259530966</v>
      </c>
      <c r="E19" s="28">
        <v>15865226.560000001</v>
      </c>
      <c r="F19" s="318">
        <f t="shared" si="3"/>
        <v>5.0149495580789596</v>
      </c>
      <c r="G19" s="28">
        <v>1371642.4999999998</v>
      </c>
      <c r="H19" s="320">
        <f t="shared" si="4"/>
        <v>2.2521321613453864</v>
      </c>
      <c r="I19" s="319">
        <v>1417753.1700000002</v>
      </c>
      <c r="J19" s="27">
        <f t="shared" si="5"/>
        <v>3.081944159209653</v>
      </c>
      <c r="K19" s="322">
        <f t="shared" si="0"/>
        <v>60610973.490000002</v>
      </c>
      <c r="L19" s="277"/>
      <c r="M19" s="277"/>
      <c r="N19" s="277"/>
      <c r="O19" s="277"/>
      <c r="P19" s="277"/>
      <c r="Q19" s="277"/>
      <c r="T19" s="285"/>
    </row>
    <row r="20" spans="1:21" x14ac:dyDescent="0.2">
      <c r="A20" s="24" t="s">
        <v>13</v>
      </c>
      <c r="B20" s="318">
        <f t="shared" si="1"/>
        <v>3.3661937770793728</v>
      </c>
      <c r="C20" s="319">
        <v>46113189.749999993</v>
      </c>
      <c r="D20" s="318">
        <f t="shared" si="2"/>
        <v>2.9904486663622434</v>
      </c>
      <c r="E20" s="28">
        <v>15145233.970000001</v>
      </c>
      <c r="F20" s="318">
        <f t="shared" si="3"/>
        <v>4.4692887294072055</v>
      </c>
      <c r="G20" s="28">
        <v>1222398.4099999999</v>
      </c>
      <c r="H20" s="320">
        <f t="shared" si="4"/>
        <v>1.4729737910296252</v>
      </c>
      <c r="I20" s="319">
        <v>927260.53</v>
      </c>
      <c r="J20" s="27">
        <f t="shared" si="5"/>
        <v>3.2241714453392101</v>
      </c>
      <c r="K20" s="322">
        <f t="shared" si="0"/>
        <v>63408082.659999989</v>
      </c>
      <c r="L20" s="277"/>
      <c r="M20" s="277"/>
      <c r="N20" s="277"/>
      <c r="O20" s="277"/>
      <c r="P20" s="277"/>
      <c r="Q20" s="277"/>
      <c r="R20" s="285"/>
    </row>
    <row r="21" spans="1:21" x14ac:dyDescent="0.2">
      <c r="A21" s="24" t="s">
        <v>14</v>
      </c>
      <c r="B21" s="318">
        <f t="shared" si="1"/>
        <v>4.3750486045561292</v>
      </c>
      <c r="C21" s="319">
        <v>59933402.480000004</v>
      </c>
      <c r="D21" s="318">
        <f t="shared" si="2"/>
        <v>4.2532419990770007</v>
      </c>
      <c r="E21" s="28">
        <v>21540695.860000003</v>
      </c>
      <c r="F21" s="318">
        <f t="shared" si="3"/>
        <v>3.5349380634950611</v>
      </c>
      <c r="G21" s="28">
        <v>966843.48</v>
      </c>
      <c r="H21" s="320">
        <f t="shared" si="4"/>
        <v>2.6447152734560433</v>
      </c>
      <c r="I21" s="319">
        <v>1664890.51</v>
      </c>
      <c r="J21" s="27">
        <f t="shared" si="5"/>
        <v>4.2766097255916211</v>
      </c>
      <c r="K21" s="322">
        <f t="shared" si="0"/>
        <v>84105832.330000013</v>
      </c>
      <c r="L21" s="277"/>
      <c r="M21" s="277"/>
      <c r="N21" s="277"/>
      <c r="O21" s="277"/>
      <c r="P21" s="277"/>
      <c r="Q21" s="277"/>
      <c r="R21" s="285"/>
    </row>
    <row r="22" spans="1:21" x14ac:dyDescent="0.2">
      <c r="A22" s="24" t="s">
        <v>25</v>
      </c>
      <c r="B22" s="318">
        <f t="shared" si="1"/>
        <v>2.2958446858917476</v>
      </c>
      <c r="C22" s="319">
        <v>31450572.560000002</v>
      </c>
      <c r="D22" s="318">
        <f t="shared" si="2"/>
        <v>1.8732151789283078</v>
      </c>
      <c r="E22" s="28">
        <v>9486965.1100000013</v>
      </c>
      <c r="F22" s="318">
        <f t="shared" si="3"/>
        <v>6.2707169045436686</v>
      </c>
      <c r="G22" s="28">
        <v>1715108.34</v>
      </c>
      <c r="H22" s="320">
        <f t="shared" si="4"/>
        <v>0.497790085067635</v>
      </c>
      <c r="I22" s="319">
        <v>313366.81000000006</v>
      </c>
      <c r="J22" s="27">
        <f t="shared" si="5"/>
        <v>2.1847339620270816</v>
      </c>
      <c r="K22" s="322">
        <f t="shared" si="0"/>
        <v>42966012.820000008</v>
      </c>
      <c r="L22" s="277"/>
      <c r="M22" s="277"/>
      <c r="N22" s="277"/>
      <c r="O22" s="277"/>
      <c r="P22" s="277"/>
      <c r="Q22" s="277"/>
      <c r="U22" s="285"/>
    </row>
    <row r="23" spans="1:21" x14ac:dyDescent="0.2">
      <c r="A23" s="24" t="s">
        <v>15</v>
      </c>
      <c r="B23" s="318">
        <f t="shared" si="1"/>
        <v>2.7959707034102546</v>
      </c>
      <c r="C23" s="319">
        <v>38301754.480000004</v>
      </c>
      <c r="D23" s="318">
        <f t="shared" si="2"/>
        <v>2.5449260908356361</v>
      </c>
      <c r="E23" s="28">
        <v>12888868.990000002</v>
      </c>
      <c r="F23" s="318">
        <f t="shared" si="3"/>
        <v>5.0597984388890911</v>
      </c>
      <c r="G23" s="28">
        <v>1383909.1500000001</v>
      </c>
      <c r="H23" s="320">
        <f t="shared" si="4"/>
        <v>1.517036310755346</v>
      </c>
      <c r="I23" s="319">
        <v>954998.59000000008</v>
      </c>
      <c r="J23" s="27">
        <f t="shared" si="5"/>
        <v>2.7218672883567696</v>
      </c>
      <c r="K23" s="322">
        <f t="shared" si="0"/>
        <v>53529531.210000008</v>
      </c>
      <c r="L23" s="277"/>
      <c r="M23" s="277"/>
      <c r="N23" s="277"/>
      <c r="O23" s="277"/>
      <c r="P23" s="277"/>
      <c r="Q23" s="277"/>
      <c r="T23" s="285"/>
    </row>
    <row r="24" spans="1:21" x14ac:dyDescent="0.2">
      <c r="A24" s="24" t="s">
        <v>16</v>
      </c>
      <c r="B24" s="318">
        <f t="shared" si="1"/>
        <v>7.7799169194096862</v>
      </c>
      <c r="C24" s="319">
        <v>106576391.29000001</v>
      </c>
      <c r="D24" s="318">
        <f t="shared" si="2"/>
        <v>9.0230690407536027</v>
      </c>
      <c r="E24" s="28">
        <v>45697655.100000001</v>
      </c>
      <c r="F24" s="318">
        <f t="shared" si="3"/>
        <v>2.5333140580869018</v>
      </c>
      <c r="G24" s="28">
        <v>692888.57000000007</v>
      </c>
      <c r="H24" s="320">
        <f t="shared" si="4"/>
        <v>6.1535879835779914</v>
      </c>
      <c r="I24" s="319">
        <v>3873781.9300000011</v>
      </c>
      <c r="J24" s="27">
        <f t="shared" si="5"/>
        <v>7.9750299906524447</v>
      </c>
      <c r="K24" s="322">
        <f t="shared" si="0"/>
        <v>156840716.89000002</v>
      </c>
      <c r="L24" s="277"/>
      <c r="M24" s="277"/>
      <c r="N24" s="277"/>
      <c r="O24" s="277"/>
      <c r="P24" s="277"/>
      <c r="Q24" s="277"/>
    </row>
    <row r="25" spans="1:21" x14ac:dyDescent="0.2">
      <c r="A25" s="24" t="s">
        <v>17</v>
      </c>
      <c r="B25" s="318">
        <f t="shared" si="1"/>
        <v>3.5954672475222647</v>
      </c>
      <c r="C25" s="319">
        <v>49253986.669999994</v>
      </c>
      <c r="D25" s="318">
        <f t="shared" si="2"/>
        <v>3.2127480144438425</v>
      </c>
      <c r="E25" s="28">
        <v>16271076.949999999</v>
      </c>
      <c r="F25" s="318">
        <f t="shared" si="3"/>
        <v>4.3123178110991178</v>
      </c>
      <c r="G25" s="28">
        <v>1179465.1800000002</v>
      </c>
      <c r="H25" s="320">
        <f t="shared" si="4"/>
        <v>2.6188137543740977</v>
      </c>
      <c r="I25" s="319">
        <v>1648585.09</v>
      </c>
      <c r="J25" s="27">
        <f t="shared" si="5"/>
        <v>3.4756161794998035</v>
      </c>
      <c r="K25" s="322">
        <f t="shared" si="0"/>
        <v>68353113.889999986</v>
      </c>
      <c r="L25" s="277"/>
      <c r="M25" s="277"/>
      <c r="N25" s="277"/>
      <c r="O25" s="277"/>
      <c r="P25" s="277"/>
      <c r="Q25" s="277"/>
      <c r="S25" s="285"/>
    </row>
    <row r="26" spans="1:21" x14ac:dyDescent="0.2">
      <c r="A26" s="24" t="s">
        <v>18</v>
      </c>
      <c r="B26" s="318">
        <f t="shared" si="1"/>
        <v>34.238047814501577</v>
      </c>
      <c r="C26" s="319">
        <v>469023977.85000002</v>
      </c>
      <c r="D26" s="318">
        <f t="shared" si="2"/>
        <v>37.648664234506882</v>
      </c>
      <c r="E26" s="28">
        <v>190673003.32000005</v>
      </c>
      <c r="F26" s="318">
        <f t="shared" si="3"/>
        <v>1.5391649331767652</v>
      </c>
      <c r="G26" s="28">
        <v>420978.11999999994</v>
      </c>
      <c r="H26" s="320">
        <f t="shared" si="4"/>
        <v>44.845705301233309</v>
      </c>
      <c r="I26" s="319">
        <v>28231087.829999998</v>
      </c>
      <c r="J26" s="27">
        <f t="shared" si="5"/>
        <v>35.001142583842942</v>
      </c>
      <c r="K26" s="322">
        <f t="shared" si="0"/>
        <v>688349047.12000012</v>
      </c>
      <c r="L26" s="277"/>
      <c r="M26" s="277"/>
      <c r="N26" s="277"/>
      <c r="O26" s="277"/>
      <c r="P26" s="277"/>
      <c r="Q26" s="277"/>
    </row>
    <row r="27" spans="1:21" x14ac:dyDescent="0.2">
      <c r="A27" s="24" t="s">
        <v>19</v>
      </c>
      <c r="B27" s="318">
        <f t="shared" si="1"/>
        <v>3.7388932976937661</v>
      </c>
      <c r="C27" s="319">
        <v>51218767.399999999</v>
      </c>
      <c r="D27" s="318">
        <f t="shared" si="2"/>
        <v>3.9103368662613498</v>
      </c>
      <c r="E27" s="28">
        <v>19804040.579999998</v>
      </c>
      <c r="F27" s="318">
        <f t="shared" si="3"/>
        <v>4.080598855605178</v>
      </c>
      <c r="G27" s="28">
        <v>1116087.5599999998</v>
      </c>
      <c r="H27" s="320">
        <f t="shared" si="4"/>
        <v>1.9963178424415311</v>
      </c>
      <c r="I27" s="319">
        <v>1256713.97</v>
      </c>
      <c r="J27" s="27">
        <f t="shared" si="5"/>
        <v>3.732016778748771</v>
      </c>
      <c r="K27" s="322">
        <f t="shared" si="0"/>
        <v>73395609.50999999</v>
      </c>
      <c r="L27" s="277"/>
      <c r="M27" s="277"/>
      <c r="N27" s="277"/>
      <c r="O27" s="277"/>
      <c r="P27" s="277"/>
      <c r="Q27" s="277"/>
      <c r="R27" s="285"/>
      <c r="T27" s="285"/>
    </row>
    <row r="28" spans="1:21" ht="15" thickBot="1" x14ac:dyDescent="0.25">
      <c r="A28" s="30" t="s">
        <v>20</v>
      </c>
      <c r="B28" s="318">
        <f t="shared" si="1"/>
        <v>3.6904405835588481</v>
      </c>
      <c r="C28" s="319">
        <v>50555017.969999999</v>
      </c>
      <c r="D28" s="318">
        <f t="shared" si="2"/>
        <v>3.3216885580318394</v>
      </c>
      <c r="E28" s="34">
        <v>16822810.220000003</v>
      </c>
      <c r="F28" s="318">
        <f t="shared" si="3"/>
        <v>4.7010084161338916</v>
      </c>
      <c r="G28" s="34">
        <v>1285776.23</v>
      </c>
      <c r="H28" s="320">
        <f t="shared" si="4"/>
        <v>3.503725962245182</v>
      </c>
      <c r="I28" s="319">
        <v>2205651.46</v>
      </c>
      <c r="J28" s="33">
        <f t="shared" si="5"/>
        <v>3.6035568586097022</v>
      </c>
      <c r="K28" s="323">
        <f t="shared" si="0"/>
        <v>70869255.879999995</v>
      </c>
      <c r="L28" s="277"/>
      <c r="M28" s="277"/>
      <c r="N28" s="277"/>
      <c r="O28" s="277"/>
      <c r="P28" s="277"/>
      <c r="Q28" s="277"/>
    </row>
    <row r="29" spans="1:21" ht="15" thickBot="1" x14ac:dyDescent="0.25">
      <c r="A29" s="49" t="s">
        <v>1</v>
      </c>
      <c r="B29" s="50">
        <f>SUM(B9:B28)</f>
        <v>100</v>
      </c>
      <c r="C29" s="324">
        <f>SUM(C9:C28)</f>
        <v>1369891123.4400001</v>
      </c>
      <c r="D29" s="50">
        <f t="shared" ref="D29:F29" si="6">SUM(D9:D28)</f>
        <v>99.999999999999972</v>
      </c>
      <c r="E29" s="324">
        <f>SUM(E9:E28)</f>
        <v>506453568.00000012</v>
      </c>
      <c r="F29" s="50">
        <f t="shared" si="6"/>
        <v>100</v>
      </c>
      <c r="G29" s="324">
        <f>SUM(G9:G28)</f>
        <v>27351072.709999997</v>
      </c>
      <c r="H29" s="50">
        <f t="shared" ref="H29" si="7">SUM(H9:H28)</f>
        <v>99.999999999999986</v>
      </c>
      <c r="I29" s="324">
        <f>SUM(I9:I28)</f>
        <v>62951597.350000001</v>
      </c>
      <c r="J29" s="325">
        <f>SUM(J9:J28)</f>
        <v>100.00000000000001</v>
      </c>
      <c r="K29" s="326">
        <f>SUM(K9:K28)</f>
        <v>1966647361.5</v>
      </c>
      <c r="L29" s="277"/>
      <c r="M29" s="277"/>
      <c r="N29" s="277"/>
      <c r="O29" s="277"/>
      <c r="P29" s="277"/>
      <c r="Q29" s="277"/>
      <c r="R29" s="285"/>
      <c r="S29" s="285"/>
      <c r="T29" s="285"/>
      <c r="U29" s="285"/>
    </row>
    <row r="30" spans="1:21" x14ac:dyDescent="0.2">
      <c r="A30" s="38" t="s">
        <v>36</v>
      </c>
      <c r="B30" s="36"/>
      <c r="C30" s="36"/>
      <c r="D30" s="36"/>
      <c r="E30" s="36"/>
      <c r="F30" s="36"/>
      <c r="G30" s="36"/>
      <c r="H30" s="36"/>
      <c r="I30" s="36"/>
      <c r="J30" s="36"/>
      <c r="K30" s="36"/>
    </row>
    <row r="31" spans="1:21" x14ac:dyDescent="0.2">
      <c r="A31" s="36"/>
      <c r="B31" s="36"/>
      <c r="C31" s="36"/>
      <c r="D31" s="36"/>
      <c r="E31" s="36"/>
      <c r="F31" s="36"/>
      <c r="G31" s="36"/>
      <c r="H31" s="36"/>
      <c r="I31" s="36"/>
      <c r="J31" s="36"/>
      <c r="K31" s="36"/>
    </row>
    <row r="32" spans="1:21" ht="14.25" customHeight="1" x14ac:dyDescent="0.2">
      <c r="A32" s="341" t="s">
        <v>230</v>
      </c>
      <c r="B32" s="341"/>
      <c r="C32" s="341"/>
      <c r="D32" s="341"/>
      <c r="E32" s="341"/>
      <c r="F32" s="341"/>
      <c r="G32" s="341"/>
      <c r="H32" s="341"/>
      <c r="I32" s="341"/>
      <c r="J32" s="341"/>
      <c r="K32" s="341"/>
    </row>
    <row r="33" spans="1:11" x14ac:dyDescent="0.2">
      <c r="A33" s="36" t="s">
        <v>231</v>
      </c>
      <c r="B33" s="36"/>
      <c r="C33" s="37"/>
      <c r="D33" s="37"/>
      <c r="E33" s="36"/>
      <c r="F33" s="36"/>
      <c r="G33" s="37"/>
      <c r="H33" s="37"/>
      <c r="I33" s="37"/>
      <c r="J33" s="37"/>
      <c r="K33" s="37"/>
    </row>
    <row r="34" spans="1:11" x14ac:dyDescent="0.2">
      <c r="A34" s="38"/>
      <c r="B34" s="284"/>
      <c r="C34" s="284"/>
      <c r="D34" s="284"/>
      <c r="E34" s="284"/>
      <c r="F34" s="284"/>
      <c r="G34" s="284"/>
      <c r="H34" s="284"/>
      <c r="I34" s="284"/>
      <c r="J34" s="284"/>
      <c r="K34" s="284"/>
    </row>
    <row r="35" spans="1:11" x14ac:dyDescent="0.2">
      <c r="B35" s="284"/>
      <c r="C35" s="284"/>
      <c r="D35" s="284"/>
      <c r="E35" s="284"/>
      <c r="F35" s="284"/>
      <c r="G35" s="284"/>
      <c r="H35" s="284"/>
      <c r="I35" s="284"/>
      <c r="J35" s="285"/>
      <c r="K35" s="285"/>
    </row>
    <row r="36" spans="1:11" x14ac:dyDescent="0.2">
      <c r="A36" s="38"/>
      <c r="B36" s="284"/>
      <c r="C36" s="284"/>
      <c r="D36" s="284"/>
      <c r="E36" s="284"/>
      <c r="F36" s="284"/>
      <c r="G36" s="284"/>
      <c r="H36" s="284"/>
      <c r="I36" s="284"/>
      <c r="J36" s="285"/>
      <c r="K36" s="285"/>
    </row>
    <row r="37" spans="1:11" x14ac:dyDescent="0.2">
      <c r="B37" s="284"/>
      <c r="C37" s="284"/>
      <c r="D37" s="284"/>
      <c r="E37" s="284"/>
      <c r="F37" s="284"/>
      <c r="G37" s="284"/>
      <c r="H37" s="284"/>
      <c r="I37" s="284"/>
      <c r="J37" s="285"/>
      <c r="K37" s="285"/>
    </row>
    <row r="38" spans="1:11" x14ac:dyDescent="0.2">
      <c r="A38" s="38"/>
      <c r="B38" s="284"/>
      <c r="C38" s="284"/>
      <c r="D38" s="284"/>
      <c r="E38" s="284"/>
      <c r="F38" s="284"/>
      <c r="G38" s="284"/>
      <c r="H38" s="284"/>
      <c r="I38" s="284"/>
      <c r="J38" s="285"/>
      <c r="K38" s="285"/>
    </row>
    <row r="39" spans="1:11" x14ac:dyDescent="0.2">
      <c r="B39" s="284"/>
      <c r="C39" s="284"/>
      <c r="D39" s="284"/>
      <c r="E39" s="284"/>
      <c r="F39" s="284"/>
      <c r="G39" s="284"/>
      <c r="H39" s="284"/>
      <c r="I39" s="284"/>
      <c r="J39" s="285"/>
      <c r="K39" s="285"/>
    </row>
    <row r="40" spans="1:11" x14ac:dyDescent="0.2">
      <c r="A40" s="38"/>
      <c r="B40" s="284"/>
      <c r="C40" s="284"/>
      <c r="D40" s="284"/>
      <c r="E40" s="284"/>
      <c r="F40" s="284"/>
      <c r="G40" s="284"/>
      <c r="H40" s="284"/>
      <c r="I40" s="284"/>
      <c r="J40" s="285"/>
      <c r="K40" s="285"/>
    </row>
    <row r="41" spans="1:11" x14ac:dyDescent="0.2">
      <c r="B41" s="284"/>
      <c r="C41" s="284"/>
      <c r="D41" s="284"/>
      <c r="E41" s="284"/>
      <c r="F41" s="284"/>
      <c r="G41" s="284"/>
      <c r="H41" s="284"/>
      <c r="I41" s="284"/>
      <c r="J41" s="285"/>
      <c r="K41" s="285"/>
    </row>
    <row r="42" spans="1:11" x14ac:dyDescent="0.2">
      <c r="A42" s="38"/>
      <c r="B42" s="284"/>
      <c r="C42" s="284"/>
      <c r="D42" s="284"/>
      <c r="E42" s="284"/>
      <c r="F42" s="284"/>
      <c r="G42" s="284"/>
      <c r="H42" s="284"/>
      <c r="I42" s="284"/>
      <c r="J42" s="285"/>
      <c r="K42" s="285"/>
    </row>
    <row r="43" spans="1:11" x14ac:dyDescent="0.2">
      <c r="B43" s="284"/>
      <c r="C43" s="284"/>
      <c r="D43" s="284"/>
      <c r="E43" s="284"/>
      <c r="F43" s="284"/>
      <c r="G43" s="284"/>
      <c r="H43" s="284"/>
      <c r="I43" s="284"/>
      <c r="J43" s="285"/>
      <c r="K43" s="285"/>
    </row>
    <row r="44" spans="1:11" x14ac:dyDescent="0.2">
      <c r="A44" s="38"/>
      <c r="B44" s="284"/>
      <c r="C44" s="284"/>
      <c r="D44" s="284"/>
      <c r="E44" s="284"/>
      <c r="F44" s="284"/>
      <c r="G44" s="284"/>
      <c r="H44" s="284"/>
      <c r="I44" s="284"/>
      <c r="J44" s="285"/>
      <c r="K44" s="285"/>
    </row>
    <row r="45" spans="1:11" x14ac:dyDescent="0.2">
      <c r="B45" s="284"/>
      <c r="C45" s="284"/>
      <c r="D45" s="284"/>
      <c r="E45" s="284"/>
      <c r="F45" s="284"/>
      <c r="G45" s="284"/>
      <c r="H45" s="284"/>
      <c r="I45" s="284"/>
      <c r="J45" s="285"/>
      <c r="K45" s="285"/>
    </row>
    <row r="46" spans="1:11" x14ac:dyDescent="0.2">
      <c r="A46" s="38"/>
      <c r="B46" s="284"/>
      <c r="C46" s="284"/>
      <c r="D46" s="284"/>
      <c r="E46" s="284"/>
      <c r="F46" s="284"/>
      <c r="G46" s="284"/>
      <c r="H46" s="284"/>
      <c r="I46" s="284"/>
      <c r="J46" s="285"/>
      <c r="K46" s="285"/>
    </row>
    <row r="47" spans="1:11" x14ac:dyDescent="0.2">
      <c r="B47" s="284"/>
      <c r="C47" s="284"/>
      <c r="D47" s="284"/>
      <c r="E47" s="284"/>
      <c r="F47" s="284"/>
      <c r="G47" s="284"/>
      <c r="H47" s="284"/>
      <c r="I47" s="284"/>
      <c r="J47" s="285"/>
      <c r="K47" s="285"/>
    </row>
    <row r="48" spans="1:11" x14ac:dyDescent="0.2">
      <c r="A48" s="38"/>
      <c r="B48" s="284"/>
      <c r="C48" s="284"/>
      <c r="D48" s="284"/>
      <c r="E48" s="284"/>
      <c r="F48" s="284"/>
      <c r="G48" s="284"/>
      <c r="H48" s="284"/>
      <c r="I48" s="284"/>
      <c r="J48" s="285"/>
      <c r="K48" s="285"/>
    </row>
    <row r="49" spans="1:11" x14ac:dyDescent="0.2">
      <c r="B49" s="284"/>
      <c r="C49" s="284"/>
      <c r="D49" s="284"/>
      <c r="E49" s="284"/>
      <c r="F49" s="284"/>
      <c r="G49" s="284"/>
      <c r="H49" s="284"/>
      <c r="I49" s="284"/>
      <c r="J49" s="285"/>
      <c r="K49" s="285"/>
    </row>
    <row r="50" spans="1:11" x14ac:dyDescent="0.2">
      <c r="A50" s="38"/>
      <c r="B50" s="284"/>
      <c r="C50" s="284"/>
      <c r="D50" s="284"/>
      <c r="E50" s="284"/>
      <c r="F50" s="284"/>
      <c r="G50" s="284"/>
      <c r="H50" s="284"/>
      <c r="I50" s="284"/>
      <c r="J50" s="285"/>
      <c r="K50" s="285"/>
    </row>
    <row r="51" spans="1:11" x14ac:dyDescent="0.2">
      <c r="B51" s="284"/>
      <c r="C51" s="284"/>
      <c r="D51" s="284"/>
      <c r="E51" s="284"/>
      <c r="F51" s="284"/>
      <c r="G51" s="284"/>
      <c r="H51" s="284"/>
      <c r="I51" s="284"/>
      <c r="J51" s="285"/>
      <c r="K51" s="285"/>
    </row>
    <row r="52" spans="1:11" x14ac:dyDescent="0.2">
      <c r="A52" s="38"/>
      <c r="B52" s="284"/>
      <c r="C52" s="284"/>
      <c r="D52" s="284"/>
      <c r="E52" s="284"/>
      <c r="F52" s="284"/>
      <c r="G52" s="284"/>
      <c r="H52" s="284"/>
      <c r="I52" s="284"/>
      <c r="J52" s="285"/>
      <c r="K52" s="285"/>
    </row>
    <row r="53" spans="1:11" x14ac:dyDescent="0.2">
      <c r="B53" s="284"/>
      <c r="C53" s="284"/>
      <c r="D53" s="284"/>
      <c r="E53" s="284"/>
      <c r="F53" s="284"/>
      <c r="G53" s="284"/>
      <c r="H53" s="284"/>
      <c r="I53" s="284"/>
      <c r="J53" s="285"/>
      <c r="K53" s="285"/>
    </row>
    <row r="54" spans="1:11" x14ac:dyDescent="0.2">
      <c r="B54" s="284"/>
      <c r="C54" s="285"/>
      <c r="D54" s="285"/>
      <c r="E54" s="285"/>
      <c r="F54" s="285"/>
      <c r="G54" s="285"/>
      <c r="H54" s="285"/>
      <c r="I54" s="285"/>
      <c r="J54" s="285"/>
      <c r="K54" s="285"/>
    </row>
    <row r="55" spans="1:11" x14ac:dyDescent="0.2">
      <c r="A55" s="7"/>
      <c r="B55" s="285"/>
      <c r="C55" s="285"/>
      <c r="D55" s="285"/>
      <c r="E55" s="285"/>
      <c r="F55" s="285"/>
      <c r="G55" s="285"/>
      <c r="H55" s="285"/>
      <c r="I55" s="285"/>
      <c r="J55" s="285"/>
      <c r="K55" s="285"/>
    </row>
    <row r="56" spans="1:11" x14ac:dyDescent="0.2">
      <c r="A56" s="7"/>
      <c r="B56" s="287"/>
      <c r="C56" s="286"/>
      <c r="D56" s="286"/>
      <c r="E56" s="286"/>
      <c r="F56" s="285"/>
      <c r="G56" s="285"/>
      <c r="H56" s="285"/>
      <c r="I56" s="285"/>
      <c r="J56" s="285"/>
      <c r="K56" s="285"/>
    </row>
    <row r="57" spans="1:11" x14ac:dyDescent="0.2">
      <c r="A57" s="7"/>
      <c r="B57" s="287"/>
      <c r="C57" s="286"/>
      <c r="D57" s="286"/>
      <c r="E57" s="286"/>
      <c r="F57" s="285"/>
      <c r="G57" s="285"/>
      <c r="H57" s="285"/>
      <c r="I57" s="285"/>
      <c r="J57" s="285"/>
      <c r="K57" s="285"/>
    </row>
    <row r="58" spans="1:11" x14ac:dyDescent="0.2">
      <c r="A58" s="7"/>
      <c r="B58" s="287"/>
      <c r="C58" s="286"/>
      <c r="D58" s="286"/>
      <c r="E58" s="286"/>
      <c r="F58" s="285"/>
      <c r="G58" s="285"/>
      <c r="H58" s="285"/>
      <c r="I58" s="285"/>
      <c r="J58" s="285"/>
      <c r="K58" s="285"/>
    </row>
    <row r="59" spans="1:11" x14ac:dyDescent="0.2">
      <c r="A59" s="7"/>
      <c r="B59" s="287"/>
      <c r="C59" s="286"/>
      <c r="D59" s="286"/>
      <c r="E59" s="286"/>
      <c r="F59" s="285"/>
      <c r="G59" s="285"/>
      <c r="H59" s="285"/>
      <c r="I59" s="285"/>
      <c r="J59" s="285"/>
      <c r="K59" s="285"/>
    </row>
    <row r="60" spans="1:11" x14ac:dyDescent="0.2">
      <c r="A60" s="7"/>
      <c r="B60" s="287"/>
      <c r="C60" s="286"/>
      <c r="D60" s="286"/>
      <c r="E60" s="286"/>
      <c r="F60" s="285"/>
      <c r="G60" s="285"/>
      <c r="H60" s="285"/>
      <c r="I60" s="285"/>
      <c r="J60" s="285"/>
      <c r="K60" s="285"/>
    </row>
    <row r="61" spans="1:11" x14ac:dyDescent="0.2">
      <c r="A61" s="7"/>
      <c r="B61" s="288"/>
      <c r="C61" s="286"/>
      <c r="D61" s="286"/>
      <c r="E61" s="286"/>
      <c r="F61" s="285"/>
      <c r="G61" s="285"/>
      <c r="H61" s="285"/>
      <c r="I61" s="285"/>
      <c r="J61" s="285"/>
      <c r="K61" s="285"/>
    </row>
    <row r="62" spans="1:11" x14ac:dyDescent="0.2">
      <c r="A62" s="7"/>
      <c r="B62" s="289"/>
      <c r="C62" s="286"/>
      <c r="D62" s="286"/>
      <c r="E62" s="286"/>
      <c r="F62" s="285"/>
      <c r="G62" s="285"/>
      <c r="H62" s="285"/>
      <c r="I62" s="285"/>
      <c r="J62" s="285"/>
      <c r="K62" s="285"/>
    </row>
    <row r="63" spans="1:11" x14ac:dyDescent="0.2">
      <c r="A63" s="7"/>
      <c r="B63" s="289"/>
      <c r="C63" s="286"/>
      <c r="D63" s="286"/>
      <c r="E63" s="286"/>
      <c r="F63" s="285"/>
      <c r="G63" s="285"/>
      <c r="H63" s="285"/>
      <c r="I63" s="285"/>
      <c r="J63" s="285"/>
      <c r="K63" s="285"/>
    </row>
    <row r="64" spans="1:11" x14ac:dyDescent="0.2">
      <c r="A64" s="7"/>
      <c r="B64" s="289"/>
      <c r="C64" s="286"/>
      <c r="D64" s="286"/>
      <c r="E64" s="286"/>
      <c r="F64" s="285"/>
      <c r="G64" s="285"/>
      <c r="H64" s="285"/>
      <c r="I64" s="285"/>
      <c r="J64" s="285"/>
      <c r="K64" s="285"/>
    </row>
    <row r="65" spans="1:11" x14ac:dyDescent="0.2">
      <c r="A65" s="7"/>
      <c r="B65" s="289"/>
      <c r="C65" s="286"/>
      <c r="D65" s="286"/>
      <c r="E65" s="286"/>
      <c r="F65" s="285"/>
      <c r="G65" s="285"/>
      <c r="H65" s="285"/>
      <c r="I65" s="285"/>
      <c r="J65" s="285"/>
      <c r="K65" s="285"/>
    </row>
    <row r="66" spans="1:11" x14ac:dyDescent="0.2">
      <c r="A66" s="7"/>
      <c r="B66" s="289"/>
      <c r="C66" s="286"/>
      <c r="D66" s="286"/>
      <c r="E66" s="286"/>
      <c r="F66" s="285"/>
      <c r="G66" s="285"/>
      <c r="H66" s="285"/>
      <c r="I66" s="285"/>
      <c r="J66" s="285"/>
      <c r="K66" s="285"/>
    </row>
    <row r="67" spans="1:11" x14ac:dyDescent="0.2">
      <c r="A67" s="7"/>
      <c r="B67" s="289"/>
      <c r="C67" s="286"/>
      <c r="D67" s="286"/>
      <c r="E67" s="286"/>
      <c r="F67" s="285"/>
      <c r="G67" s="285"/>
      <c r="H67" s="285"/>
      <c r="I67" s="285"/>
      <c r="J67" s="285"/>
      <c r="K67" s="285"/>
    </row>
    <row r="68" spans="1:11" x14ac:dyDescent="0.2">
      <c r="A68" s="7"/>
      <c r="B68" s="7"/>
      <c r="C68" s="7"/>
      <c r="D68" s="7"/>
    </row>
    <row r="69" spans="1:11" x14ac:dyDescent="0.2">
      <c r="A69" s="7"/>
      <c r="B69" s="7"/>
      <c r="C69" s="7"/>
      <c r="D69" s="7"/>
    </row>
    <row r="70" spans="1:11" x14ac:dyDescent="0.2">
      <c r="A70" s="7"/>
      <c r="B70" s="7"/>
      <c r="C70" s="7"/>
      <c r="D70" s="7"/>
    </row>
    <row r="71" spans="1:11" x14ac:dyDescent="0.2">
      <c r="A71" s="7"/>
      <c r="B71" s="7"/>
      <c r="D71" s="7"/>
    </row>
    <row r="72" spans="1:11" x14ac:dyDescent="0.2">
      <c r="A72" s="7"/>
      <c r="B72" s="7"/>
      <c r="C72" s="7"/>
      <c r="D72" s="7"/>
    </row>
    <row r="73" spans="1:11" x14ac:dyDescent="0.2">
      <c r="A73" s="7"/>
      <c r="B73" s="7"/>
      <c r="C73" s="7"/>
      <c r="D73" s="7"/>
    </row>
    <row r="74" spans="1:11" x14ac:dyDescent="0.2">
      <c r="A74" s="7"/>
      <c r="B74" s="7"/>
      <c r="C74" s="7"/>
      <c r="D74" s="7"/>
    </row>
    <row r="75" spans="1:11" x14ac:dyDescent="0.2">
      <c r="A75" s="7"/>
      <c r="B75" s="7"/>
      <c r="C75" s="7"/>
      <c r="D75" s="7"/>
    </row>
    <row r="76" spans="1:11" x14ac:dyDescent="0.2">
      <c r="A76" s="7"/>
      <c r="B76" s="7"/>
      <c r="C76" s="7"/>
      <c r="D76" s="7"/>
    </row>
    <row r="77" spans="1:11" x14ac:dyDescent="0.2">
      <c r="A77" s="7"/>
      <c r="B77" s="7"/>
      <c r="C77" s="7"/>
      <c r="D77" s="7"/>
    </row>
    <row r="78" spans="1:11" x14ac:dyDescent="0.2">
      <c r="A78" s="7"/>
      <c r="B78" s="7"/>
      <c r="C78" s="7"/>
      <c r="D78" s="7"/>
    </row>
    <row r="79" spans="1:11" x14ac:dyDescent="0.2">
      <c r="A79" s="7"/>
      <c r="B79" s="7"/>
      <c r="C79" s="7"/>
      <c r="D79" s="7"/>
    </row>
    <row r="80" spans="1:11" x14ac:dyDescent="0.2">
      <c r="A80" s="7"/>
      <c r="B80" s="7"/>
      <c r="C80" s="7"/>
      <c r="D80" s="7"/>
    </row>
    <row r="81" spans="1:4" x14ac:dyDescent="0.2">
      <c r="A81" s="7"/>
      <c r="B81" s="7"/>
      <c r="C81" s="7"/>
      <c r="D81" s="7"/>
    </row>
    <row r="82" spans="1:4" x14ac:dyDescent="0.2">
      <c r="A82" s="7"/>
      <c r="B82" s="7"/>
      <c r="C82" s="7"/>
      <c r="D82" s="7"/>
    </row>
  </sheetData>
  <sortState ref="A10:K29">
    <sortCondition ref="A10"/>
  </sortState>
  <mergeCells count="11">
    <mergeCell ref="A32:K32"/>
    <mergeCell ref="J7:K7"/>
    <mergeCell ref="A1:K1"/>
    <mergeCell ref="A2:K2"/>
    <mergeCell ref="A3:K3"/>
    <mergeCell ref="A7:A8"/>
    <mergeCell ref="B7:C7"/>
    <mergeCell ref="D7:E7"/>
    <mergeCell ref="F7:G7"/>
    <mergeCell ref="H7:I7"/>
    <mergeCell ref="A5:K5"/>
  </mergeCells>
  <pageMargins left="0.39" right="0.91" top="0.36" bottom="0.38" header="0.31496062992125984" footer="0.31496062992125984"/>
  <pageSetup scale="8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37"/>
  <sheetViews>
    <sheetView topLeftCell="A7" workbookViewId="0">
      <selection activeCell="D40" sqref="D40"/>
    </sheetView>
  </sheetViews>
  <sheetFormatPr baseColWidth="10" defaultRowHeight="14.25" x14ac:dyDescent="0.2"/>
  <cols>
    <col min="1" max="1" width="33.5546875" style="1" customWidth="1"/>
    <col min="2" max="4" width="20.77734375" style="1" customWidth="1"/>
    <col min="5" max="16384" width="11.5546875" style="1"/>
  </cols>
  <sheetData>
    <row r="1" spans="1:11" ht="16.5" x14ac:dyDescent="0.25">
      <c r="A1" s="330" t="s">
        <v>26</v>
      </c>
      <c r="B1" s="330"/>
      <c r="C1" s="330"/>
      <c r="D1" s="330"/>
      <c r="E1" s="293"/>
      <c r="F1" s="293"/>
      <c r="G1" s="293"/>
      <c r="H1" s="293"/>
      <c r="I1" s="293"/>
      <c r="J1" s="293"/>
      <c r="K1" s="293"/>
    </row>
    <row r="2" spans="1:11" ht="15.75" x14ac:dyDescent="0.25">
      <c r="A2" s="331" t="s">
        <v>27</v>
      </c>
      <c r="B2" s="331"/>
      <c r="C2" s="331"/>
      <c r="D2" s="331"/>
      <c r="E2" s="294"/>
      <c r="F2" s="294"/>
      <c r="G2" s="294"/>
      <c r="H2" s="294"/>
      <c r="I2" s="294"/>
      <c r="J2" s="294"/>
      <c r="K2" s="294"/>
    </row>
    <row r="3" spans="1:11" ht="15" x14ac:dyDescent="0.25">
      <c r="A3" s="337" t="s">
        <v>28</v>
      </c>
      <c r="B3" s="337"/>
      <c r="C3" s="337"/>
      <c r="D3" s="337"/>
      <c r="E3" s="295"/>
      <c r="F3" s="295"/>
      <c r="G3" s="295"/>
      <c r="H3" s="295"/>
      <c r="I3" s="295"/>
      <c r="J3" s="295"/>
      <c r="K3" s="295"/>
    </row>
    <row r="5" spans="1:11" ht="21" customHeight="1" x14ac:dyDescent="0.2">
      <c r="A5" s="340" t="s">
        <v>217</v>
      </c>
      <c r="B5" s="340"/>
      <c r="C5" s="340"/>
      <c r="D5" s="340"/>
    </row>
    <row r="6" spans="1:11" ht="15.75" thickBot="1" x14ac:dyDescent="0.3">
      <c r="D6" s="5" t="s">
        <v>29</v>
      </c>
    </row>
    <row r="7" spans="1:11" ht="24.95" customHeight="1" x14ac:dyDescent="0.2">
      <c r="A7" s="349" t="s">
        <v>0</v>
      </c>
      <c r="B7" s="345" t="s">
        <v>35</v>
      </c>
      <c r="C7" s="345" t="s">
        <v>21</v>
      </c>
      <c r="D7" s="347" t="s">
        <v>22</v>
      </c>
      <c r="F7" s="6"/>
    </row>
    <row r="8" spans="1:11" ht="30" customHeight="1" thickBot="1" x14ac:dyDescent="0.25">
      <c r="A8" s="350"/>
      <c r="B8" s="346"/>
      <c r="C8" s="346"/>
      <c r="D8" s="348"/>
    </row>
    <row r="9" spans="1:11" x14ac:dyDescent="0.2">
      <c r="A9" s="2" t="s">
        <v>2</v>
      </c>
      <c r="B9" s="12">
        <f>PROVISIONALES!K9</f>
        <v>70526629.63000001</v>
      </c>
      <c r="C9" s="12">
        <f>DEFINITIVAS!K9</f>
        <v>69605986.170000002</v>
      </c>
      <c r="D9" s="15">
        <f t="shared" ref="D9:D28" si="0">C9-B9</f>
        <v>-920643.46000000834</v>
      </c>
      <c r="F9" s="11"/>
    </row>
    <row r="10" spans="1:11" x14ac:dyDescent="0.2">
      <c r="A10" s="3" t="s">
        <v>3</v>
      </c>
      <c r="B10" s="13">
        <f>PROVISIONALES!K10</f>
        <v>48166476.140000008</v>
      </c>
      <c r="C10" s="13">
        <f>DEFINITIVAS!K10</f>
        <v>47537886.090000004</v>
      </c>
      <c r="D10" s="16">
        <f t="shared" si="0"/>
        <v>-628590.05000000447</v>
      </c>
      <c r="F10" s="11"/>
    </row>
    <row r="11" spans="1:11" x14ac:dyDescent="0.2">
      <c r="A11" s="3" t="s">
        <v>4</v>
      </c>
      <c r="B11" s="13">
        <f>PROVISIONALES!K11</f>
        <v>46276325.780000009</v>
      </c>
      <c r="C11" s="13">
        <f>DEFINITIVAS!K11</f>
        <v>45628196.640000001</v>
      </c>
      <c r="D11" s="16">
        <f t="shared" si="0"/>
        <v>-648129.14000000805</v>
      </c>
      <c r="F11" s="11"/>
    </row>
    <row r="12" spans="1:11" x14ac:dyDescent="0.2">
      <c r="A12" s="3" t="s">
        <v>5</v>
      </c>
      <c r="B12" s="13">
        <f>PROVISIONALES!K12</f>
        <v>113535134.00999999</v>
      </c>
      <c r="C12" s="13">
        <f>DEFINITIVAS!K12</f>
        <v>110701207.10000001</v>
      </c>
      <c r="D12" s="16">
        <f t="shared" si="0"/>
        <v>-2833926.9099999815</v>
      </c>
      <c r="F12" s="11"/>
    </row>
    <row r="13" spans="1:11" x14ac:dyDescent="0.2">
      <c r="A13" s="3" t="s">
        <v>6</v>
      </c>
      <c r="B13" s="13">
        <f>PROVISIONALES!K13</f>
        <v>104196312.83999999</v>
      </c>
      <c r="C13" s="13">
        <f>DEFINITIVAS!K13</f>
        <v>102362339.62000002</v>
      </c>
      <c r="D13" s="16">
        <f t="shared" si="0"/>
        <v>-1833973.219999969</v>
      </c>
      <c r="F13" s="11"/>
    </row>
    <row r="14" spans="1:11" x14ac:dyDescent="0.2">
      <c r="A14" s="3" t="s">
        <v>7</v>
      </c>
      <c r="B14" s="13">
        <f>PROVISIONALES!K14</f>
        <v>42184382.909999996</v>
      </c>
      <c r="C14" s="13">
        <f>DEFINITIVAS!K14</f>
        <v>41216413.030000001</v>
      </c>
      <c r="D14" s="16">
        <f t="shared" si="0"/>
        <v>-967969.87999999523</v>
      </c>
      <c r="F14" s="11"/>
    </row>
    <row r="15" spans="1:11" x14ac:dyDescent="0.2">
      <c r="A15" s="3" t="s">
        <v>8</v>
      </c>
      <c r="B15" s="13">
        <f>PROVISIONALES!K15</f>
        <v>36286523.640000001</v>
      </c>
      <c r="C15" s="13">
        <f>DEFINITIVAS!K15</f>
        <v>35597015.259999998</v>
      </c>
      <c r="D15" s="16">
        <f t="shared" si="0"/>
        <v>-689508.38000000268</v>
      </c>
      <c r="F15" s="11"/>
    </row>
    <row r="16" spans="1:11" x14ac:dyDescent="0.2">
      <c r="A16" s="3" t="s">
        <v>9</v>
      </c>
      <c r="B16" s="13">
        <f>PROVISIONALES!K16</f>
        <v>62239985.649999991</v>
      </c>
      <c r="C16" s="13">
        <f>DEFINITIVAS!K16</f>
        <v>61401208.909999996</v>
      </c>
      <c r="D16" s="16">
        <f t="shared" si="0"/>
        <v>-838776.73999999464</v>
      </c>
      <c r="F16" s="11"/>
    </row>
    <row r="17" spans="1:6" x14ac:dyDescent="0.2">
      <c r="A17" s="3" t="s">
        <v>10</v>
      </c>
      <c r="B17" s="13">
        <f>PROVISIONALES!K17</f>
        <v>55891994.730000004</v>
      </c>
      <c r="C17" s="13">
        <f>DEFINITIVAS!K17</f>
        <v>55087282.170000002</v>
      </c>
      <c r="D17" s="16">
        <f t="shared" si="0"/>
        <v>-804712.56000000238</v>
      </c>
      <c r="F17" s="11"/>
    </row>
    <row r="18" spans="1:6" x14ac:dyDescent="0.2">
      <c r="A18" s="3" t="s">
        <v>11</v>
      </c>
      <c r="B18" s="13">
        <f>PROVISIONALES!K18</f>
        <v>35674801.220000006</v>
      </c>
      <c r="C18" s="13">
        <f>DEFINITIVAS!K18</f>
        <v>35081650.710000001</v>
      </c>
      <c r="D18" s="16">
        <f t="shared" si="0"/>
        <v>-593150.51000000536</v>
      </c>
      <c r="F18" s="11"/>
    </row>
    <row r="19" spans="1:6" x14ac:dyDescent="0.2">
      <c r="A19" s="3" t="s">
        <v>12</v>
      </c>
      <c r="B19" s="13">
        <f>PROVISIONALES!K19</f>
        <v>61510770.839999996</v>
      </c>
      <c r="C19" s="13">
        <f>DEFINITIVAS!K19</f>
        <v>60610973.490000002</v>
      </c>
      <c r="D19" s="16">
        <f t="shared" si="0"/>
        <v>-899797.34999999404</v>
      </c>
      <c r="F19" s="11"/>
    </row>
    <row r="20" spans="1:6" x14ac:dyDescent="0.2">
      <c r="A20" s="3" t="s">
        <v>13</v>
      </c>
      <c r="B20" s="13">
        <f>PROVISIONALES!K20</f>
        <v>64266450.209999993</v>
      </c>
      <c r="C20" s="13">
        <f>DEFINITIVAS!K20</f>
        <v>63408082.659999989</v>
      </c>
      <c r="D20" s="16">
        <f t="shared" si="0"/>
        <v>-858367.55000000447</v>
      </c>
      <c r="F20" s="11"/>
    </row>
    <row r="21" spans="1:6" x14ac:dyDescent="0.2">
      <c r="A21" s="3" t="s">
        <v>14</v>
      </c>
      <c r="B21" s="13">
        <f>PROVISIONALES!K21</f>
        <v>84999738.420000002</v>
      </c>
      <c r="C21" s="13">
        <f>DEFINITIVAS!K21</f>
        <v>84105832.330000013</v>
      </c>
      <c r="D21" s="16">
        <f t="shared" si="0"/>
        <v>-893906.08999998868</v>
      </c>
      <c r="F21" s="11"/>
    </row>
    <row r="22" spans="1:6" x14ac:dyDescent="0.2">
      <c r="A22" s="3" t="s">
        <v>25</v>
      </c>
      <c r="B22" s="13">
        <f>PROVISIONALES!K22</f>
        <v>43633994.880000003</v>
      </c>
      <c r="C22" s="13">
        <f>DEFINITIVAS!K22</f>
        <v>42966012.820000008</v>
      </c>
      <c r="D22" s="16">
        <f t="shared" si="0"/>
        <v>-667982.05999999493</v>
      </c>
      <c r="F22" s="11"/>
    </row>
    <row r="23" spans="1:6" x14ac:dyDescent="0.2">
      <c r="A23" s="3" t="s">
        <v>15</v>
      </c>
      <c r="B23" s="13">
        <f>PROVISIONALES!K23</f>
        <v>54214297.649999999</v>
      </c>
      <c r="C23" s="13">
        <f>DEFINITIVAS!K23</f>
        <v>53529531.210000008</v>
      </c>
      <c r="D23" s="16">
        <f t="shared" si="0"/>
        <v>-684766.43999999017</v>
      </c>
      <c r="F23" s="11"/>
    </row>
    <row r="24" spans="1:6" x14ac:dyDescent="0.2">
      <c r="A24" s="3" t="s">
        <v>16</v>
      </c>
      <c r="B24" s="13">
        <f>PROVISIONALES!K24</f>
        <v>158447408.84999999</v>
      </c>
      <c r="C24" s="13">
        <f>DEFINITIVAS!K24</f>
        <v>156840716.89000002</v>
      </c>
      <c r="D24" s="16">
        <f t="shared" si="0"/>
        <v>-1606691.9599999785</v>
      </c>
      <c r="F24" s="11"/>
    </row>
    <row r="25" spans="1:6" x14ac:dyDescent="0.2">
      <c r="A25" s="3" t="s">
        <v>17</v>
      </c>
      <c r="B25" s="13">
        <f>PROVISIONALES!K25</f>
        <v>69306543.289999992</v>
      </c>
      <c r="C25" s="13">
        <f>DEFINITIVAS!K25</f>
        <v>68353113.889999986</v>
      </c>
      <c r="D25" s="16">
        <f t="shared" si="0"/>
        <v>-953429.40000000596</v>
      </c>
      <c r="F25" s="11"/>
    </row>
    <row r="26" spans="1:6" x14ac:dyDescent="0.2">
      <c r="A26" s="3" t="s">
        <v>18</v>
      </c>
      <c r="B26" s="13">
        <f>PROVISIONALES!K26</f>
        <v>694145955.31000018</v>
      </c>
      <c r="C26" s="13">
        <f>DEFINITIVAS!K26</f>
        <v>688349047.12000012</v>
      </c>
      <c r="D26" s="16">
        <f t="shared" si="0"/>
        <v>-5796908.1900000572</v>
      </c>
      <c r="F26" s="11"/>
    </row>
    <row r="27" spans="1:6" x14ac:dyDescent="0.2">
      <c r="A27" s="3" t="s">
        <v>19</v>
      </c>
      <c r="B27" s="13">
        <f>PROVISIONALES!K27</f>
        <v>74294052.079999998</v>
      </c>
      <c r="C27" s="13">
        <f>DEFINITIVAS!K27</f>
        <v>73395609.50999999</v>
      </c>
      <c r="D27" s="16">
        <f t="shared" si="0"/>
        <v>-898442.57000000775</v>
      </c>
      <c r="F27" s="11"/>
    </row>
    <row r="28" spans="1:6" ht="15" thickBot="1" x14ac:dyDescent="0.25">
      <c r="A28" s="4" t="s">
        <v>20</v>
      </c>
      <c r="B28" s="14">
        <f>PROVISIONALES!K28</f>
        <v>72180108.040000007</v>
      </c>
      <c r="C28" s="14">
        <f>DEFINITIVAS!K28</f>
        <v>70869255.879999995</v>
      </c>
      <c r="D28" s="17">
        <f t="shared" si="0"/>
        <v>-1310852.1600000113</v>
      </c>
      <c r="F28" s="11"/>
    </row>
    <row r="29" spans="1:6" ht="15.75" thickBot="1" x14ac:dyDescent="0.3">
      <c r="A29" s="53" t="s">
        <v>1</v>
      </c>
      <c r="B29" s="54">
        <f>SUM(B9:B28)</f>
        <v>1991977886.1199999</v>
      </c>
      <c r="C29" s="54">
        <f t="shared" ref="C29:D29" si="1">SUM(C9:C28)</f>
        <v>1966647361.5</v>
      </c>
      <c r="D29" s="55">
        <f t="shared" si="1"/>
        <v>-25330524.620000005</v>
      </c>
      <c r="F29" s="11"/>
    </row>
    <row r="30" spans="1:6" ht="14.25" customHeight="1" x14ac:dyDescent="0.2">
      <c r="A30" s="38" t="s">
        <v>36</v>
      </c>
      <c r="C30" s="8"/>
    </row>
    <row r="31" spans="1:6" ht="14.25" customHeight="1" x14ac:dyDescent="0.2">
      <c r="C31" s="8"/>
    </row>
    <row r="32" spans="1:6" ht="27" customHeight="1" x14ac:dyDescent="0.2">
      <c r="A32" s="344" t="s">
        <v>232</v>
      </c>
      <c r="B32" s="344"/>
      <c r="C32" s="344"/>
      <c r="D32" s="344"/>
    </row>
    <row r="33" spans="1:4" ht="41.25" customHeight="1" x14ac:dyDescent="0.2">
      <c r="A33" s="344" t="s">
        <v>238</v>
      </c>
      <c r="B33" s="344"/>
      <c r="C33" s="344"/>
      <c r="D33" s="344"/>
    </row>
    <row r="34" spans="1:4" x14ac:dyDescent="0.2">
      <c r="A34" s="9"/>
      <c r="B34" s="10"/>
      <c r="C34" s="7"/>
    </row>
    <row r="35" spans="1:4" x14ac:dyDescent="0.2">
      <c r="B35" s="7"/>
      <c r="C35" s="7"/>
    </row>
    <row r="36" spans="1:4" x14ac:dyDescent="0.2">
      <c r="B36" s="7"/>
      <c r="C36" s="7"/>
    </row>
    <row r="37" spans="1:4" x14ac:dyDescent="0.2">
      <c r="B37" s="7"/>
    </row>
  </sheetData>
  <sortState ref="A10:D28">
    <sortCondition ref="A9"/>
  </sortState>
  <mergeCells count="10">
    <mergeCell ref="A33:D33"/>
    <mergeCell ref="A32:D32"/>
    <mergeCell ref="A1:D1"/>
    <mergeCell ref="A2:D2"/>
    <mergeCell ref="A3:D3"/>
    <mergeCell ref="A5:D5"/>
    <mergeCell ref="B7:B8"/>
    <mergeCell ref="C7:C8"/>
    <mergeCell ref="D7:D8"/>
    <mergeCell ref="A7:A8"/>
  </mergeCells>
  <pageMargins left="0.57999999999999996" right="0.70866141732283472" top="0.43" bottom="0.41" header="0.31496062992125984" footer="0.31496062992125984"/>
  <pageSetup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W34"/>
  <sheetViews>
    <sheetView zoomScaleNormal="100" workbookViewId="0">
      <selection activeCell="B2" sqref="B2:S2"/>
    </sheetView>
  </sheetViews>
  <sheetFormatPr baseColWidth="10" defaultRowHeight="15" x14ac:dyDescent="0.25"/>
  <cols>
    <col min="1" max="1" width="2.77734375" style="58" customWidth="1"/>
    <col min="2" max="2" width="15.88671875" style="58" customWidth="1"/>
    <col min="3" max="3" width="11.33203125" style="58" bestFit="1" customWidth="1"/>
    <col min="4" max="4" width="11.77734375" style="58" customWidth="1"/>
    <col min="5" max="5" width="10.44140625" style="58" bestFit="1" customWidth="1"/>
    <col min="6" max="6" width="13.5546875" style="57" customWidth="1"/>
    <col min="7" max="7" width="12.88671875" style="57" customWidth="1"/>
    <col min="8" max="8" width="13" style="57" customWidth="1"/>
    <col min="9" max="9" width="11.88671875" style="58" customWidth="1"/>
    <col min="10" max="10" width="12.77734375" style="58" customWidth="1"/>
    <col min="11" max="11" width="11.6640625" style="58" customWidth="1"/>
    <col min="12" max="12" width="13.21875" style="58" customWidth="1"/>
    <col min="13" max="13" width="13.77734375" style="58" customWidth="1"/>
    <col min="14" max="14" width="11.21875" style="58" customWidth="1"/>
    <col min="15" max="15" width="9.44140625" style="58" customWidth="1"/>
    <col min="16" max="17" width="11.21875" style="58" customWidth="1"/>
    <col min="18" max="18" width="13.21875" style="58" customWidth="1"/>
    <col min="19" max="19" width="11.6640625" style="58" customWidth="1"/>
    <col min="20" max="20" width="0.21875" style="58" customWidth="1"/>
    <col min="21" max="21" width="13.88671875" style="58" bestFit="1" customWidth="1"/>
    <col min="22" max="22" width="9.44140625" style="58" bestFit="1" customWidth="1"/>
    <col min="23" max="16384" width="11.5546875" style="58"/>
  </cols>
  <sheetData>
    <row r="1" spans="2:23" x14ac:dyDescent="0.25">
      <c r="B1" s="56"/>
      <c r="C1" s="56"/>
      <c r="D1" s="56"/>
      <c r="E1" s="56"/>
      <c r="S1" s="59"/>
    </row>
    <row r="2" spans="2:23" ht="16.5" thickBot="1" x14ac:dyDescent="0.3">
      <c r="B2" s="364" t="s">
        <v>218</v>
      </c>
      <c r="C2" s="364"/>
      <c r="D2" s="364"/>
      <c r="E2" s="364"/>
      <c r="F2" s="364"/>
      <c r="G2" s="364"/>
      <c r="H2" s="364"/>
      <c r="I2" s="364"/>
      <c r="J2" s="364"/>
      <c r="K2" s="364"/>
      <c r="L2" s="364"/>
      <c r="M2" s="364"/>
      <c r="N2" s="364"/>
      <c r="O2" s="364"/>
      <c r="P2" s="364"/>
      <c r="Q2" s="364"/>
      <c r="R2" s="364"/>
      <c r="S2" s="364"/>
    </row>
    <row r="3" spans="2:23" ht="33.75" customHeight="1" thickBot="1" x14ac:dyDescent="0.3">
      <c r="B3" s="365" t="s">
        <v>0</v>
      </c>
      <c r="C3" s="367" t="s">
        <v>37</v>
      </c>
      <c r="D3" s="368"/>
      <c r="E3" s="368"/>
      <c r="F3" s="369"/>
      <c r="G3" s="367" t="s">
        <v>38</v>
      </c>
      <c r="H3" s="368"/>
      <c r="I3" s="368"/>
      <c r="J3" s="368"/>
      <c r="K3" s="368"/>
      <c r="L3" s="369"/>
      <c r="M3" s="370" t="s">
        <v>39</v>
      </c>
      <c r="N3" s="371"/>
      <c r="O3" s="371"/>
      <c r="P3" s="371"/>
      <c r="Q3" s="371"/>
      <c r="R3" s="372"/>
      <c r="S3" s="60" t="s">
        <v>40</v>
      </c>
      <c r="T3" s="373" t="s">
        <v>41</v>
      </c>
    </row>
    <row r="4" spans="2:23" ht="15" customHeight="1" x14ac:dyDescent="0.25">
      <c r="B4" s="366"/>
      <c r="C4" s="61" t="s">
        <v>42</v>
      </c>
      <c r="D4" s="354" t="s">
        <v>202</v>
      </c>
      <c r="E4" s="62" t="s">
        <v>43</v>
      </c>
      <c r="F4" s="354" t="s">
        <v>201</v>
      </c>
      <c r="G4" s="374" t="s">
        <v>203</v>
      </c>
      <c r="H4" s="375"/>
      <c r="I4" s="356" t="s">
        <v>204</v>
      </c>
      <c r="J4" s="352" t="s">
        <v>44</v>
      </c>
      <c r="K4" s="62" t="s">
        <v>45</v>
      </c>
      <c r="L4" s="354" t="s">
        <v>206</v>
      </c>
      <c r="M4" s="354" t="s">
        <v>46</v>
      </c>
      <c r="N4" s="356" t="s">
        <v>207</v>
      </c>
      <c r="O4" s="356" t="s">
        <v>47</v>
      </c>
      <c r="P4" s="356" t="s">
        <v>243</v>
      </c>
      <c r="Q4" s="360" t="s">
        <v>208</v>
      </c>
      <c r="R4" s="354" t="s">
        <v>209</v>
      </c>
      <c r="S4" s="362" t="s">
        <v>234</v>
      </c>
      <c r="T4" s="373"/>
    </row>
    <row r="5" spans="2:23" ht="19.5" customHeight="1" thickBot="1" x14ac:dyDescent="0.3">
      <c r="B5" s="366"/>
      <c r="C5" s="63" t="s">
        <v>233</v>
      </c>
      <c r="D5" s="358"/>
      <c r="E5" s="64" t="s">
        <v>200</v>
      </c>
      <c r="F5" s="355"/>
      <c r="G5" s="376"/>
      <c r="H5" s="377"/>
      <c r="I5" s="357"/>
      <c r="J5" s="353"/>
      <c r="K5" s="64" t="s">
        <v>205</v>
      </c>
      <c r="L5" s="355"/>
      <c r="M5" s="355"/>
      <c r="N5" s="357"/>
      <c r="O5" s="357"/>
      <c r="P5" s="358"/>
      <c r="Q5" s="361"/>
      <c r="R5" s="355"/>
      <c r="S5" s="362"/>
      <c r="T5" s="373"/>
    </row>
    <row r="6" spans="2:23" x14ac:dyDescent="0.25">
      <c r="B6" s="366"/>
      <c r="C6" s="63" t="s">
        <v>48</v>
      </c>
      <c r="D6" s="64" t="s">
        <v>49</v>
      </c>
      <c r="E6" s="65">
        <v>0.6</v>
      </c>
      <c r="F6" s="355"/>
      <c r="G6" s="66">
        <v>2018</v>
      </c>
      <c r="H6" s="67">
        <v>2019</v>
      </c>
      <c r="I6" s="357"/>
      <c r="J6" s="353"/>
      <c r="K6" s="65">
        <v>0.3</v>
      </c>
      <c r="L6" s="355"/>
      <c r="M6" s="355"/>
      <c r="N6" s="357"/>
      <c r="O6" s="357"/>
      <c r="P6" s="358"/>
      <c r="Q6" s="361"/>
      <c r="R6" s="355"/>
      <c r="S6" s="362"/>
      <c r="T6" s="373"/>
    </row>
    <row r="7" spans="2:23" ht="15.75" thickBot="1" x14ac:dyDescent="0.3">
      <c r="B7" s="366"/>
      <c r="C7" s="68" t="s">
        <v>50</v>
      </c>
      <c r="D7" s="69" t="s">
        <v>51</v>
      </c>
      <c r="E7" s="69" t="s">
        <v>52</v>
      </c>
      <c r="F7" s="69" t="s">
        <v>53</v>
      </c>
      <c r="G7" s="69" t="s">
        <v>54</v>
      </c>
      <c r="H7" s="69" t="s">
        <v>55</v>
      </c>
      <c r="I7" s="69" t="s">
        <v>56</v>
      </c>
      <c r="J7" s="69" t="s">
        <v>57</v>
      </c>
      <c r="K7" s="69" t="s">
        <v>58</v>
      </c>
      <c r="L7" s="70" t="s">
        <v>59</v>
      </c>
      <c r="M7" s="70" t="s">
        <v>60</v>
      </c>
      <c r="N7" s="70" t="s">
        <v>61</v>
      </c>
      <c r="O7" s="70" t="s">
        <v>62</v>
      </c>
      <c r="P7" s="359"/>
      <c r="Q7" s="71" t="s">
        <v>63</v>
      </c>
      <c r="R7" s="70" t="s">
        <v>64</v>
      </c>
      <c r="S7" s="72" t="s">
        <v>65</v>
      </c>
      <c r="T7" s="373"/>
    </row>
    <row r="8" spans="2:23" s="87" customFormat="1" ht="16.5" customHeight="1" x14ac:dyDescent="0.25">
      <c r="B8" s="73" t="s">
        <v>66</v>
      </c>
      <c r="C8" s="74">
        <f>'CENSO 2020'!C10</f>
        <v>37232</v>
      </c>
      <c r="D8" s="75">
        <f>C8/$C$28*100</f>
        <v>3.0136241193535018</v>
      </c>
      <c r="E8" s="76">
        <f>D8*0.6</f>
        <v>1.8081744716121011</v>
      </c>
      <c r="F8" s="77">
        <f>Datos!$L$18*FGP!E8/100</f>
        <v>-455808.23534474731</v>
      </c>
      <c r="G8" s="78">
        <f>'Predial y Agua'!D9</f>
        <v>11206191</v>
      </c>
      <c r="H8" s="79">
        <f>'Predial y Agua'!G9</f>
        <v>11337932</v>
      </c>
      <c r="I8" s="75">
        <f>H8/G8</f>
        <v>1.0117560908965411</v>
      </c>
      <c r="J8" s="75">
        <f>I8/$I$28*100</f>
        <v>4.7940132358696488</v>
      </c>
      <c r="K8" s="75">
        <f>J8*0.3</f>
        <v>1.4382039707608947</v>
      </c>
      <c r="L8" s="80">
        <f>Datos!$L$18*FGP!K8/100</f>
        <v>-362545.33191914397</v>
      </c>
      <c r="M8" s="81">
        <f>F8+L8</f>
        <v>-818353.56726389122</v>
      </c>
      <c r="N8" s="75">
        <f>K8+E8</f>
        <v>3.246378442372996</v>
      </c>
      <c r="O8" s="75">
        <f>MINVERSE(N8)</f>
        <v>0.30803555954771339</v>
      </c>
      <c r="P8" s="75">
        <f>O8/O$28*100</f>
        <v>4.3373877853929619</v>
      </c>
      <c r="Q8" s="75">
        <f>P8*0.1</f>
        <v>0.43373877853929621</v>
      </c>
      <c r="R8" s="82">
        <f>$R$28*P8/100</f>
        <v>-109337.73833800408</v>
      </c>
      <c r="S8" s="83">
        <f>F8+L8+R8</f>
        <v>-927691.30560189532</v>
      </c>
      <c r="T8" s="84" t="e">
        <f>#REF!+K8+E8</f>
        <v>#REF!</v>
      </c>
      <c r="U8" s="85"/>
      <c r="V8" s="86"/>
      <c r="W8" s="86"/>
    </row>
    <row r="9" spans="2:23" s="87" customFormat="1" ht="16.5" customHeight="1" x14ac:dyDescent="0.25">
      <c r="B9" s="73" t="s">
        <v>67</v>
      </c>
      <c r="C9" s="74">
        <f>'CENSO 2020'!C11</f>
        <v>15393</v>
      </c>
      <c r="D9" s="75">
        <f t="shared" ref="D9:D27" si="0">C9/$C$28*100</f>
        <v>1.2459367229589724</v>
      </c>
      <c r="E9" s="76">
        <f t="shared" ref="E9:E27" si="1">D9*0.6</f>
        <v>0.74756203377538344</v>
      </c>
      <c r="F9" s="77">
        <f>Datos!$L$18*FGP!E9/100</f>
        <v>-188446.93185060422</v>
      </c>
      <c r="G9" s="78">
        <f>'Predial y Agua'!D10</f>
        <v>6496081</v>
      </c>
      <c r="H9" s="79">
        <f>'Predial y Agua'!G10</f>
        <v>4476557</v>
      </c>
      <c r="I9" s="75">
        <f t="shared" ref="I9:I27" si="2">H9/G9</f>
        <v>0.68911656120051457</v>
      </c>
      <c r="J9" s="75">
        <f t="shared" ref="J9:J27" si="3">I9/$I$28*100</f>
        <v>3.2652473705641989</v>
      </c>
      <c r="K9" s="88">
        <f t="shared" ref="K9:K27" si="4">J9*0.3</f>
        <v>0.97957421116925958</v>
      </c>
      <c r="L9" s="80">
        <f>Datos!$L$18*FGP!K9/100</f>
        <v>-246933.02532039516</v>
      </c>
      <c r="M9" s="89">
        <f t="shared" ref="M9:M28" si="5">F9+L9</f>
        <v>-435379.95717099938</v>
      </c>
      <c r="N9" s="88">
        <f t="shared" ref="N9:N27" si="6">K9+E9</f>
        <v>1.727136244944643</v>
      </c>
      <c r="O9" s="88">
        <f t="shared" ref="O9:O27" si="7">MINVERSE(N9)</f>
        <v>0.57899311819030885</v>
      </c>
      <c r="P9" s="88">
        <f t="shared" ref="P9:P27" si="8">O9/O$28*100</f>
        <v>8.1526875739689952</v>
      </c>
      <c r="Q9" s="88">
        <f t="shared" ref="Q9:Q27" si="9">P9*0.1</f>
        <v>0.81526875739689952</v>
      </c>
      <c r="R9" s="82">
        <f t="shared" ref="R9:R27" si="10">$R$28*P9/100</f>
        <v>-205514.57808685649</v>
      </c>
      <c r="S9" s="83">
        <f t="shared" ref="S9:S27" si="11">F9+L9+R9</f>
        <v>-640894.5352578559</v>
      </c>
      <c r="T9" s="84" t="e">
        <f>#REF!+K9+E9</f>
        <v>#REF!</v>
      </c>
      <c r="U9" s="85"/>
      <c r="V9" s="86"/>
      <c r="W9" s="86"/>
    </row>
    <row r="10" spans="2:23" s="87" customFormat="1" ht="16.5" customHeight="1" x14ac:dyDescent="0.25">
      <c r="B10" s="73" t="s">
        <v>68</v>
      </c>
      <c r="C10" s="74">
        <f>'CENSO 2020'!C12</f>
        <v>11536</v>
      </c>
      <c r="D10" s="75">
        <f t="shared" si="0"/>
        <v>0.93374430169912959</v>
      </c>
      <c r="E10" s="76">
        <f t="shared" si="1"/>
        <v>0.56024658101947777</v>
      </c>
      <c r="F10" s="77">
        <f>Datos!$L$18*FGP!E10/100</f>
        <v>-141228.07807630545</v>
      </c>
      <c r="G10" s="78">
        <f>'Predial y Agua'!D11</f>
        <v>3306953</v>
      </c>
      <c r="H10" s="79">
        <f>'Predial y Agua'!G11</f>
        <v>3050109</v>
      </c>
      <c r="I10" s="75">
        <f t="shared" si="2"/>
        <v>0.92233212869974268</v>
      </c>
      <c r="J10" s="75">
        <f t="shared" si="3"/>
        <v>4.3702948493606257</v>
      </c>
      <c r="K10" s="88">
        <f t="shared" si="4"/>
        <v>1.3110884548081876</v>
      </c>
      <c r="L10" s="80">
        <f>Datos!$L$18*FGP!K10/100</f>
        <v>-330501.79855386919</v>
      </c>
      <c r="M10" s="89">
        <f t="shared" si="5"/>
        <v>-471729.87663017464</v>
      </c>
      <c r="N10" s="88">
        <f t="shared" si="6"/>
        <v>1.8713350358276655</v>
      </c>
      <c r="O10" s="88">
        <f t="shared" si="7"/>
        <v>0.53437785370042723</v>
      </c>
      <c r="P10" s="88">
        <f t="shared" si="8"/>
        <v>7.5244688594653066</v>
      </c>
      <c r="Q10" s="88">
        <f t="shared" si="9"/>
        <v>0.75244688594653075</v>
      </c>
      <c r="R10" s="82">
        <f t="shared" si="10"/>
        <v>-189678.31515072647</v>
      </c>
      <c r="S10" s="83">
        <f t="shared" si="11"/>
        <v>-661408.19178090105</v>
      </c>
      <c r="T10" s="84" t="e">
        <f>#REF!+K10+E10</f>
        <v>#REF!</v>
      </c>
      <c r="U10" s="85"/>
      <c r="V10" s="86"/>
      <c r="W10" s="86"/>
    </row>
    <row r="11" spans="2:23" s="87" customFormat="1" ht="16.5" customHeight="1" x14ac:dyDescent="0.25">
      <c r="B11" s="73" t="s">
        <v>69</v>
      </c>
      <c r="C11" s="74">
        <f>'CENSO 2020'!C13</f>
        <v>187632</v>
      </c>
      <c r="D11" s="75">
        <f t="shared" si="0"/>
        <v>15.187266887691669</v>
      </c>
      <c r="E11" s="76">
        <f t="shared" si="1"/>
        <v>9.1123601326150006</v>
      </c>
      <c r="F11" s="77">
        <f>Datos!$L$18*FGP!E11/100</f>
        <v>-2297061.957837495</v>
      </c>
      <c r="G11" s="78">
        <f>'Predial y Agua'!D12</f>
        <v>293520012</v>
      </c>
      <c r="H11" s="79">
        <f>'Predial y Agua'!G12</f>
        <v>323649261</v>
      </c>
      <c r="I11" s="75">
        <f t="shared" si="2"/>
        <v>1.102648023195093</v>
      </c>
      <c r="J11" s="75">
        <f t="shared" si="3"/>
        <v>5.2246873186783906</v>
      </c>
      <c r="K11" s="88">
        <f t="shared" si="4"/>
        <v>1.5674061956035172</v>
      </c>
      <c r="L11" s="80">
        <f>Datos!$L$18*FGP!K11/100</f>
        <v>-395114.88703271968</v>
      </c>
      <c r="M11" s="89">
        <f t="shared" si="5"/>
        <v>-2692176.8448702148</v>
      </c>
      <c r="N11" s="88">
        <f t="shared" si="6"/>
        <v>10.679766328218518</v>
      </c>
      <c r="O11" s="88">
        <f t="shared" si="7"/>
        <v>9.3635007477435056E-2</v>
      </c>
      <c r="P11" s="88">
        <f t="shared" si="8"/>
        <v>1.3184560195391906</v>
      </c>
      <c r="Q11" s="88">
        <f t="shared" si="9"/>
        <v>0.13184560195391906</v>
      </c>
      <c r="R11" s="82">
        <f t="shared" si="10"/>
        <v>-33235.902899902227</v>
      </c>
      <c r="S11" s="83">
        <f t="shared" si="11"/>
        <v>-2725412.7477701171</v>
      </c>
      <c r="T11" s="84" t="e">
        <f>#REF!+K11+E11</f>
        <v>#REF!</v>
      </c>
      <c r="U11" s="85"/>
      <c r="V11" s="86"/>
      <c r="W11" s="86"/>
    </row>
    <row r="12" spans="2:23" s="87" customFormat="1" ht="16.5" customHeight="1" x14ac:dyDescent="0.25">
      <c r="B12" s="73" t="s">
        <v>70</v>
      </c>
      <c r="C12" s="74">
        <f>'CENSO 2020'!C14</f>
        <v>77436</v>
      </c>
      <c r="D12" s="75">
        <f t="shared" si="0"/>
        <v>6.2678071902196431</v>
      </c>
      <c r="E12" s="76">
        <f t="shared" si="1"/>
        <v>3.7606843141317858</v>
      </c>
      <c r="F12" s="77">
        <f>Datos!$L$18*FGP!E12/100</f>
        <v>-948000.81951428473</v>
      </c>
      <c r="G12" s="78">
        <f>'Predial y Agua'!D13</f>
        <v>26126480</v>
      </c>
      <c r="H12" s="79">
        <f>'Predial y Agua'!G13</f>
        <v>60010155</v>
      </c>
      <c r="I12" s="75">
        <f t="shared" si="2"/>
        <v>2.2969093042767339</v>
      </c>
      <c r="J12" s="75">
        <f t="shared" si="3"/>
        <v>10.883466583865419</v>
      </c>
      <c r="K12" s="88">
        <f t="shared" si="4"/>
        <v>3.2650399751596253</v>
      </c>
      <c r="L12" s="80">
        <f>Datos!$L$18*FGP!K12/100</f>
        <v>-823057.80375314888</v>
      </c>
      <c r="M12" s="89">
        <f t="shared" si="5"/>
        <v>-1771058.6232674336</v>
      </c>
      <c r="N12" s="88">
        <f t="shared" si="6"/>
        <v>7.0257242892914107</v>
      </c>
      <c r="O12" s="88">
        <f t="shared" si="7"/>
        <v>0.14233407956588864</v>
      </c>
      <c r="P12" s="88">
        <f t="shared" si="8"/>
        <v>2.0041780210723017</v>
      </c>
      <c r="Q12" s="88">
        <f t="shared" si="9"/>
        <v>0.20041780210723018</v>
      </c>
      <c r="R12" s="82">
        <f t="shared" si="10"/>
        <v>-50521.720190377004</v>
      </c>
      <c r="S12" s="83">
        <f t="shared" si="11"/>
        <v>-1821580.3434578106</v>
      </c>
      <c r="T12" s="84" t="e">
        <f>#REF!+K12+E12</f>
        <v>#REF!</v>
      </c>
      <c r="U12" s="85"/>
      <c r="V12" s="86"/>
      <c r="W12" s="86"/>
    </row>
    <row r="13" spans="2:23" s="87" customFormat="1" ht="16.5" customHeight="1" x14ac:dyDescent="0.25">
      <c r="B13" s="73" t="s">
        <v>71</v>
      </c>
      <c r="C13" s="74">
        <f>'CENSO 2020'!C15</f>
        <v>47550</v>
      </c>
      <c r="D13" s="75">
        <f t="shared" si="0"/>
        <v>3.8487813406547868</v>
      </c>
      <c r="E13" s="76">
        <f t="shared" si="1"/>
        <v>2.3092688043928722</v>
      </c>
      <c r="F13" s="77">
        <f>Datos!$L$18*FGP!E13/100</f>
        <v>-582125.09643969533</v>
      </c>
      <c r="G13" s="78">
        <f>'Predial y Agua'!D14</f>
        <v>115798</v>
      </c>
      <c r="H13" s="79">
        <f>'Predial y Agua'!G14</f>
        <v>94277</v>
      </c>
      <c r="I13" s="75">
        <f t="shared" si="2"/>
        <v>0.81415050346292683</v>
      </c>
      <c r="J13" s="75">
        <f t="shared" si="3"/>
        <v>3.857696854715869</v>
      </c>
      <c r="K13" s="88">
        <f t="shared" si="4"/>
        <v>1.1573090564147606</v>
      </c>
      <c r="L13" s="80">
        <f>Datos!$L$18*FGP!K13/100</f>
        <v>-291736.78040183667</v>
      </c>
      <c r="M13" s="89">
        <f t="shared" si="5"/>
        <v>-873861.87684153207</v>
      </c>
      <c r="N13" s="88">
        <f t="shared" si="6"/>
        <v>3.4665778608076327</v>
      </c>
      <c r="O13" s="88">
        <f t="shared" si="7"/>
        <v>0.28846892819162673</v>
      </c>
      <c r="P13" s="88">
        <f t="shared" si="8"/>
        <v>4.0618739194945297</v>
      </c>
      <c r="Q13" s="88">
        <f t="shared" si="9"/>
        <v>0.40618739194945297</v>
      </c>
      <c r="R13" s="82">
        <f t="shared" si="10"/>
        <v>-102392.52973121463</v>
      </c>
      <c r="S13" s="83">
        <f t="shared" si="11"/>
        <v>-976254.4065727467</v>
      </c>
      <c r="T13" s="84" t="e">
        <f>#REF!+K13+E13</f>
        <v>#REF!</v>
      </c>
      <c r="U13" s="85"/>
      <c r="V13" s="86"/>
      <c r="W13" s="86"/>
    </row>
    <row r="14" spans="2:23" s="87" customFormat="1" ht="16.5" customHeight="1" x14ac:dyDescent="0.25">
      <c r="B14" s="73" t="s">
        <v>72</v>
      </c>
      <c r="C14" s="74">
        <f>'CENSO 2020'!C16</f>
        <v>12230</v>
      </c>
      <c r="D14" s="75">
        <f t="shared" si="0"/>
        <v>0.98991789266473262</v>
      </c>
      <c r="E14" s="76">
        <f t="shared" si="1"/>
        <v>0.5939507355988396</v>
      </c>
      <c r="F14" s="77">
        <f>Datos!$L$18*FGP!E14/100</f>
        <v>-149724.28873727599</v>
      </c>
      <c r="G14" s="78">
        <f>'Predial y Agua'!D15</f>
        <v>92213</v>
      </c>
      <c r="H14" s="79">
        <f>'Predial y Agua'!G15</f>
        <v>99583</v>
      </c>
      <c r="I14" s="75">
        <f t="shared" si="2"/>
        <v>1.079923655016104</v>
      </c>
      <c r="J14" s="75">
        <f t="shared" si="3"/>
        <v>5.1170122349234575</v>
      </c>
      <c r="K14" s="88">
        <f t="shared" si="4"/>
        <v>1.5351036704770371</v>
      </c>
      <c r="L14" s="80">
        <f>Datos!$L$18*FGP!K14/100</f>
        <v>-386972.00192608888</v>
      </c>
      <c r="M14" s="89">
        <f t="shared" si="5"/>
        <v>-536696.29066336481</v>
      </c>
      <c r="N14" s="88">
        <f t="shared" si="6"/>
        <v>2.1290544060758769</v>
      </c>
      <c r="O14" s="88">
        <f t="shared" si="7"/>
        <v>0.46969208355888359</v>
      </c>
      <c r="P14" s="88">
        <f t="shared" si="8"/>
        <v>6.6136413247721588</v>
      </c>
      <c r="Q14" s="88">
        <f t="shared" si="9"/>
        <v>0.66136413247721593</v>
      </c>
      <c r="R14" s="82">
        <f t="shared" si="10"/>
        <v>-166717.99258175743</v>
      </c>
      <c r="S14" s="83">
        <f t="shared" si="11"/>
        <v>-703414.28324512229</v>
      </c>
      <c r="T14" s="84" t="e">
        <f>#REF!+K14+E14</f>
        <v>#REF!</v>
      </c>
      <c r="U14" s="85"/>
      <c r="V14" s="86"/>
      <c r="W14" s="86"/>
    </row>
    <row r="15" spans="2:23" s="87" customFormat="1" ht="16.5" customHeight="1" x14ac:dyDescent="0.25">
      <c r="B15" s="73" t="s">
        <v>73</v>
      </c>
      <c r="C15" s="74">
        <f>'CENSO 2020'!C17</f>
        <v>29299</v>
      </c>
      <c r="D15" s="75">
        <f t="shared" si="0"/>
        <v>2.3715130283878989</v>
      </c>
      <c r="E15" s="76">
        <f t="shared" si="1"/>
        <v>1.4229078170327394</v>
      </c>
      <c r="F15" s="77">
        <f>Datos!$L$18*FGP!E15/100</f>
        <v>-358689.44691033929</v>
      </c>
      <c r="G15" s="78">
        <f>'Predial y Agua'!D16</f>
        <v>11680521</v>
      </c>
      <c r="H15" s="79">
        <f>'Predial y Agua'!G16</f>
        <v>11883725</v>
      </c>
      <c r="I15" s="75">
        <f t="shared" si="2"/>
        <v>1.017396826734013</v>
      </c>
      <c r="J15" s="75">
        <f t="shared" si="3"/>
        <v>4.8207407866184884</v>
      </c>
      <c r="K15" s="88">
        <f t="shared" si="4"/>
        <v>1.4462222359855466</v>
      </c>
      <c r="L15" s="80">
        <f>Datos!$L$18*FGP!K15/100</f>
        <v>-364566.59224548639</v>
      </c>
      <c r="M15" s="89">
        <f t="shared" si="5"/>
        <v>-723256.03915582574</v>
      </c>
      <c r="N15" s="88">
        <f t="shared" si="6"/>
        <v>2.8691300530182859</v>
      </c>
      <c r="O15" s="88">
        <f t="shared" si="7"/>
        <v>0.34853770359695391</v>
      </c>
      <c r="P15" s="88">
        <f t="shared" si="8"/>
        <v>4.9076904645360537</v>
      </c>
      <c r="Q15" s="88">
        <f t="shared" si="9"/>
        <v>0.49076904645360542</v>
      </c>
      <c r="R15" s="82">
        <f t="shared" si="10"/>
        <v>-123714.04227734871</v>
      </c>
      <c r="S15" s="83">
        <f t="shared" si="11"/>
        <v>-846970.08143317443</v>
      </c>
      <c r="T15" s="84" t="e">
        <f>#REF!+K15+E15</f>
        <v>#REF!</v>
      </c>
      <c r="U15" s="85"/>
      <c r="V15" s="86"/>
      <c r="W15" s="86"/>
    </row>
    <row r="16" spans="2:23" s="87" customFormat="1" ht="16.5" customHeight="1" x14ac:dyDescent="0.25">
      <c r="B16" s="73" t="s">
        <v>74</v>
      </c>
      <c r="C16" s="74">
        <f>'CENSO 2020'!C18</f>
        <v>19321</v>
      </c>
      <c r="D16" s="75">
        <f t="shared" si="0"/>
        <v>1.563876010153336</v>
      </c>
      <c r="E16" s="76">
        <f t="shared" si="1"/>
        <v>0.93832560609200155</v>
      </c>
      <c r="F16" s="77">
        <f>Datos!$L$18*FGP!E16/100</f>
        <v>-236534.99449655839</v>
      </c>
      <c r="G16" s="78">
        <f>'Predial y Agua'!D17</f>
        <v>3420820</v>
      </c>
      <c r="H16" s="79">
        <f>'Predial y Agua'!G17</f>
        <v>4290832</v>
      </c>
      <c r="I16" s="75">
        <f t="shared" si="2"/>
        <v>1.254328494337615</v>
      </c>
      <c r="J16" s="75">
        <f t="shared" si="3"/>
        <v>5.9433962968826552</v>
      </c>
      <c r="K16" s="88">
        <f t="shared" si="4"/>
        <v>1.7830188890647964</v>
      </c>
      <c r="L16" s="80">
        <f>Datos!$L$18*FGP!K16/100</f>
        <v>-449466.96581021324</v>
      </c>
      <c r="M16" s="89">
        <f t="shared" si="5"/>
        <v>-686001.96030677157</v>
      </c>
      <c r="N16" s="88">
        <f t="shared" si="6"/>
        <v>2.721344495156798</v>
      </c>
      <c r="O16" s="88">
        <f t="shared" si="7"/>
        <v>0.36746542077995242</v>
      </c>
      <c r="P16" s="88">
        <f t="shared" si="8"/>
        <v>5.1742079063387214</v>
      </c>
      <c r="Q16" s="88">
        <f t="shared" si="9"/>
        <v>0.51742079063387214</v>
      </c>
      <c r="R16" s="82">
        <f t="shared" si="10"/>
        <v>-130432.46722714698</v>
      </c>
      <c r="S16" s="83">
        <f t="shared" si="11"/>
        <v>-816434.42753391853</v>
      </c>
      <c r="T16" s="84" t="e">
        <f>#REF!+K16+E16</f>
        <v>#REF!</v>
      </c>
      <c r="U16" s="85"/>
      <c r="V16" s="86"/>
      <c r="W16" s="86"/>
    </row>
    <row r="17" spans="2:23" s="87" customFormat="1" ht="16.5" customHeight="1" x14ac:dyDescent="0.25">
      <c r="B17" s="73" t="s">
        <v>75</v>
      </c>
      <c r="C17" s="74">
        <f>'CENSO 2020'!C19</f>
        <v>13719</v>
      </c>
      <c r="D17" s="75">
        <f t="shared" si="0"/>
        <v>1.1104401937422297</v>
      </c>
      <c r="E17" s="76">
        <f t="shared" si="1"/>
        <v>0.66626411624533777</v>
      </c>
      <c r="F17" s="77">
        <f>Datos!$L$18*FGP!E17/100</f>
        <v>-167953.19028509315</v>
      </c>
      <c r="G17" s="78">
        <f>'Predial y Agua'!D18</f>
        <v>2366788</v>
      </c>
      <c r="H17" s="79">
        <f>'Predial y Agua'!G18</f>
        <v>561068</v>
      </c>
      <c r="I17" s="75">
        <f t="shared" si="2"/>
        <v>0.23705883247675752</v>
      </c>
      <c r="J17" s="75">
        <f t="shared" si="3"/>
        <v>1.1232580567578638</v>
      </c>
      <c r="K17" s="88">
        <f t="shared" si="4"/>
        <v>0.33697741702735912</v>
      </c>
      <c r="L17" s="80">
        <f>Datos!$L$18*FGP!K17/100</f>
        <v>-84945.940902113332</v>
      </c>
      <c r="M17" s="89">
        <f t="shared" si="5"/>
        <v>-252899.13118720648</v>
      </c>
      <c r="N17" s="88">
        <f t="shared" si="6"/>
        <v>1.0032415332726969</v>
      </c>
      <c r="O17" s="88">
        <f t="shared" si="7"/>
        <v>0.99676894031477881</v>
      </c>
      <c r="P17" s="88">
        <f t="shared" si="8"/>
        <v>14.035306290378907</v>
      </c>
      <c r="Q17" s="88">
        <f t="shared" si="9"/>
        <v>1.4035306290378908</v>
      </c>
      <c r="R17" s="82">
        <f t="shared" si="10"/>
        <v>-353804.80662559898</v>
      </c>
      <c r="S17" s="83">
        <f t="shared" si="11"/>
        <v>-606703.93781280541</v>
      </c>
      <c r="T17" s="84" t="e">
        <f>#REF!+K17+E17</f>
        <v>#REF!</v>
      </c>
      <c r="U17" s="85"/>
      <c r="V17" s="86"/>
      <c r="W17" s="86"/>
    </row>
    <row r="18" spans="2:23" s="87" customFormat="1" ht="16.5" customHeight="1" x14ac:dyDescent="0.25">
      <c r="B18" s="73" t="s">
        <v>76</v>
      </c>
      <c r="C18" s="74">
        <f>'CENSO 2020'!C20</f>
        <v>33567</v>
      </c>
      <c r="D18" s="75">
        <f t="shared" si="0"/>
        <v>2.7169725186489848</v>
      </c>
      <c r="E18" s="76">
        <f t="shared" si="1"/>
        <v>1.6301835111893908</v>
      </c>
      <c r="F18" s="77">
        <f>Datos!$L$18*FGP!E18/100</f>
        <v>-410939.91823746054</v>
      </c>
      <c r="G18" s="78">
        <f>'Predial y Agua'!D19</f>
        <v>2337928</v>
      </c>
      <c r="H18" s="79">
        <f>'Predial y Agua'!G19</f>
        <v>2522032</v>
      </c>
      <c r="I18" s="75">
        <f t="shared" si="2"/>
        <v>1.0787466508806087</v>
      </c>
      <c r="J18" s="75">
        <f t="shared" si="3"/>
        <v>5.1114352253506885</v>
      </c>
      <c r="K18" s="88">
        <f t="shared" si="4"/>
        <v>1.5334305676052065</v>
      </c>
      <c r="L18" s="80">
        <f>Datos!$L$18*FGP!K18/100</f>
        <v>-386550.24280962517</v>
      </c>
      <c r="M18" s="89">
        <f t="shared" si="5"/>
        <v>-797490.16104708565</v>
      </c>
      <c r="N18" s="88">
        <f t="shared" si="6"/>
        <v>3.1636140787945974</v>
      </c>
      <c r="O18" s="88">
        <f t="shared" si="7"/>
        <v>0.31609418060910283</v>
      </c>
      <c r="P18" s="88">
        <f t="shared" si="8"/>
        <v>4.4508596345849929</v>
      </c>
      <c r="Q18" s="88">
        <f t="shared" si="9"/>
        <v>0.44508596345849932</v>
      </c>
      <c r="R18" s="82">
        <f t="shared" si="10"/>
        <v>-112198.15939545946</v>
      </c>
      <c r="S18" s="83">
        <f t="shared" si="11"/>
        <v>-909688.32044254511</v>
      </c>
      <c r="T18" s="84" t="e">
        <f>#REF!+K18+E18</f>
        <v>#REF!</v>
      </c>
      <c r="U18" s="85"/>
      <c r="V18" s="86"/>
      <c r="W18" s="86"/>
    </row>
    <row r="19" spans="2:23" s="87" customFormat="1" ht="16.5" customHeight="1" x14ac:dyDescent="0.25">
      <c r="B19" s="73" t="s">
        <v>77</v>
      </c>
      <c r="C19" s="74">
        <f>'CENSO 2020'!C21</f>
        <v>24096</v>
      </c>
      <c r="D19" s="75">
        <f t="shared" si="0"/>
        <v>1.9503729796933278</v>
      </c>
      <c r="E19" s="76">
        <f t="shared" si="1"/>
        <v>1.1702237878159967</v>
      </c>
      <c r="F19" s="77">
        <f>Datos!$L$18*FGP!E19/100</f>
        <v>-294992.35171000834</v>
      </c>
      <c r="G19" s="78">
        <f>'Predial y Agua'!D20</f>
        <v>2694457</v>
      </c>
      <c r="H19" s="79">
        <f>'Predial y Agua'!G20</f>
        <v>3423553</v>
      </c>
      <c r="I19" s="75">
        <f t="shared" si="2"/>
        <v>1.2705910689983178</v>
      </c>
      <c r="J19" s="75">
        <f t="shared" si="3"/>
        <v>6.0204534046917546</v>
      </c>
      <c r="K19" s="88">
        <f t="shared" si="4"/>
        <v>1.8061360214075264</v>
      </c>
      <c r="L19" s="80">
        <f>Datos!$L$18*FGP!K19/100</f>
        <v>-455294.37874231616</v>
      </c>
      <c r="M19" s="89">
        <f t="shared" si="5"/>
        <v>-750286.7304523245</v>
      </c>
      <c r="N19" s="88">
        <f t="shared" si="6"/>
        <v>2.9763598092235233</v>
      </c>
      <c r="O19" s="88">
        <f t="shared" si="7"/>
        <v>0.3359808840655194</v>
      </c>
      <c r="P19" s="88">
        <f t="shared" si="8"/>
        <v>4.7308803724187767</v>
      </c>
      <c r="Q19" s="88">
        <f t="shared" si="9"/>
        <v>0.4730880372418777</v>
      </c>
      <c r="R19" s="82">
        <f t="shared" si="10"/>
        <v>-119256.97813091899</v>
      </c>
      <c r="S19" s="83">
        <f t="shared" si="11"/>
        <v>-869543.70858324342</v>
      </c>
      <c r="T19" s="84" t="e">
        <f>#REF!+K19+E19</f>
        <v>#REF!</v>
      </c>
      <c r="U19" s="85"/>
      <c r="V19" s="86"/>
      <c r="W19" s="86"/>
    </row>
    <row r="20" spans="2:23" s="87" customFormat="1" ht="16.5" customHeight="1" x14ac:dyDescent="0.25">
      <c r="B20" s="73" t="s">
        <v>78</v>
      </c>
      <c r="C20" s="74">
        <f>'CENSO 2020'!C22</f>
        <v>41518</v>
      </c>
      <c r="D20" s="75">
        <f t="shared" si="0"/>
        <v>3.3605405615416495</v>
      </c>
      <c r="E20" s="76">
        <f t="shared" si="1"/>
        <v>2.0163243369249897</v>
      </c>
      <c r="F20" s="77">
        <f>Datos!$L$18*FGP!E20/100</f>
        <v>-508279.06948440103</v>
      </c>
      <c r="G20" s="78">
        <f>'Predial y Agua'!D21</f>
        <v>6665469</v>
      </c>
      <c r="H20" s="79">
        <f>'Predial y Agua'!G21</f>
        <v>5209406</v>
      </c>
      <c r="I20" s="75">
        <f t="shared" si="2"/>
        <v>0.78155130569206754</v>
      </c>
      <c r="J20" s="75">
        <f t="shared" si="3"/>
        <v>3.703231774645289</v>
      </c>
      <c r="K20" s="88">
        <f t="shared" si="4"/>
        <v>1.1109695323935866</v>
      </c>
      <c r="L20" s="80">
        <f>Datos!$L$18*FGP!K20/100</f>
        <v>-280055.42055387067</v>
      </c>
      <c r="M20" s="89">
        <f t="shared" si="5"/>
        <v>-788334.49003827176</v>
      </c>
      <c r="N20" s="88">
        <f t="shared" si="6"/>
        <v>3.1272938693185761</v>
      </c>
      <c r="O20" s="88">
        <f t="shared" si="7"/>
        <v>0.31976528007516469</v>
      </c>
      <c r="P20" s="88">
        <f t="shared" si="8"/>
        <v>4.5025516600330908</v>
      </c>
      <c r="Q20" s="88">
        <f t="shared" si="9"/>
        <v>0.45025516600330912</v>
      </c>
      <c r="R20" s="82">
        <f t="shared" si="10"/>
        <v>-113501.222306191</v>
      </c>
      <c r="S20" s="83">
        <f t="shared" si="11"/>
        <v>-901835.71234446275</v>
      </c>
      <c r="T20" s="84" t="e">
        <f>#REF!+K20+E20</f>
        <v>#REF!</v>
      </c>
      <c r="U20" s="85"/>
      <c r="V20" s="86"/>
      <c r="W20" s="86"/>
    </row>
    <row r="21" spans="2:23" s="87" customFormat="1" ht="16.5" customHeight="1" x14ac:dyDescent="0.25">
      <c r="B21" s="73" t="s">
        <v>79</v>
      </c>
      <c r="C21" s="74">
        <f>'CENSO 2020'!C23</f>
        <v>7683</v>
      </c>
      <c r="D21" s="75">
        <f t="shared" si="0"/>
        <v>0.62187564753418989</v>
      </c>
      <c r="E21" s="76">
        <f t="shared" si="1"/>
        <v>0.37312538852051391</v>
      </c>
      <c r="F21" s="77">
        <f>Datos!$L$18*FGP!E21/100</f>
        <v>-94058.193815902821</v>
      </c>
      <c r="G21" s="78">
        <f>'Predial y Agua'!D22</f>
        <v>1821386</v>
      </c>
      <c r="H21" s="79">
        <f>'Predial y Agua'!G22</f>
        <v>2088284</v>
      </c>
      <c r="I21" s="75">
        <f t="shared" si="2"/>
        <v>1.1465356602060188</v>
      </c>
      <c r="J21" s="75">
        <f t="shared" si="3"/>
        <v>5.4326405147248629</v>
      </c>
      <c r="K21" s="88">
        <f t="shared" si="4"/>
        <v>1.6297921544174587</v>
      </c>
      <c r="L21" s="80">
        <f>Datos!$L$18*FGP!K21/100</f>
        <v>-410841.26424006978</v>
      </c>
      <c r="M21" s="89">
        <f t="shared" si="5"/>
        <v>-504899.45805597259</v>
      </c>
      <c r="N21" s="88">
        <f t="shared" si="6"/>
        <v>2.0029175429379729</v>
      </c>
      <c r="O21" s="88">
        <f t="shared" si="7"/>
        <v>0.49927167672272388</v>
      </c>
      <c r="P21" s="88">
        <f t="shared" si="8"/>
        <v>7.0301457253488753</v>
      </c>
      <c r="Q21" s="88">
        <f t="shared" si="9"/>
        <v>0.70301457253488753</v>
      </c>
      <c r="R21" s="82">
        <f t="shared" si="10"/>
        <v>-177217.31877072493</v>
      </c>
      <c r="S21" s="83">
        <f t="shared" si="11"/>
        <v>-682116.77682669752</v>
      </c>
      <c r="T21" s="84" t="e">
        <f>#REF!+K21+E21</f>
        <v>#REF!</v>
      </c>
      <c r="U21" s="85"/>
      <c r="V21" s="86"/>
      <c r="W21" s="86"/>
    </row>
    <row r="22" spans="2:23" s="87" customFormat="1" ht="16.5" customHeight="1" x14ac:dyDescent="0.25">
      <c r="B22" s="73" t="s">
        <v>80</v>
      </c>
      <c r="C22" s="74">
        <f>'CENSO 2020'!C24</f>
        <v>24911</v>
      </c>
      <c r="D22" s="75">
        <f t="shared" si="0"/>
        <v>2.0163405252797348</v>
      </c>
      <c r="E22" s="76">
        <f t="shared" si="1"/>
        <v>1.2098043151678408</v>
      </c>
      <c r="F22" s="77">
        <f>Datos!$L$18*FGP!E22/100</f>
        <v>-304969.89016633539</v>
      </c>
      <c r="G22" s="78">
        <f>'Predial y Agua'!D23</f>
        <v>4577159</v>
      </c>
      <c r="H22" s="79">
        <f>'Predial y Agua'!G23</f>
        <v>2820618</v>
      </c>
      <c r="I22" s="75">
        <f t="shared" si="2"/>
        <v>0.61623771426773677</v>
      </c>
      <c r="J22" s="75">
        <f t="shared" si="3"/>
        <v>2.9199248566161398</v>
      </c>
      <c r="K22" s="88">
        <f t="shared" si="4"/>
        <v>0.87597745698484186</v>
      </c>
      <c r="L22" s="80">
        <f>Datos!$L$18*FGP!K22/100</f>
        <v>-220818.14843567551</v>
      </c>
      <c r="M22" s="89">
        <f t="shared" si="5"/>
        <v>-525788.03860201093</v>
      </c>
      <c r="N22" s="88">
        <f t="shared" si="6"/>
        <v>2.0857817721526826</v>
      </c>
      <c r="O22" s="88">
        <f t="shared" si="7"/>
        <v>0.47943654190051022</v>
      </c>
      <c r="P22" s="88">
        <f t="shared" si="8"/>
        <v>6.7508511152531661</v>
      </c>
      <c r="Q22" s="88">
        <f t="shared" si="9"/>
        <v>0.67508511152531669</v>
      </c>
      <c r="R22" s="82">
        <f t="shared" si="10"/>
        <v>-170176.80440843978</v>
      </c>
      <c r="S22" s="83">
        <f t="shared" si="11"/>
        <v>-695964.84301045071</v>
      </c>
      <c r="T22" s="84" t="e">
        <f>#REF!+K22+E22</f>
        <v>#REF!</v>
      </c>
      <c r="U22" s="85"/>
      <c r="V22" s="86"/>
      <c r="W22" s="86"/>
    </row>
    <row r="23" spans="2:23" s="87" customFormat="1" ht="16.5" customHeight="1" x14ac:dyDescent="0.25">
      <c r="B23" s="73" t="s">
        <v>81</v>
      </c>
      <c r="C23" s="74">
        <f>'CENSO 2020'!C25</f>
        <v>93981</v>
      </c>
      <c r="D23" s="75">
        <f t="shared" si="0"/>
        <v>7.6069888365105687</v>
      </c>
      <c r="E23" s="76">
        <f t="shared" si="1"/>
        <v>4.5641933019063412</v>
      </c>
      <c r="F23" s="77">
        <f>Datos!$L$18*FGP!E23/100</f>
        <v>-1150550.9713669613</v>
      </c>
      <c r="G23" s="78">
        <f>'Predial y Agua'!D24</f>
        <v>16215080</v>
      </c>
      <c r="H23" s="79">
        <f>'Predial y Agua'!G24</f>
        <v>17843967</v>
      </c>
      <c r="I23" s="75">
        <f t="shared" si="2"/>
        <v>1.1004550702185867</v>
      </c>
      <c r="J23" s="75">
        <f t="shared" si="3"/>
        <v>5.2142964293231353</v>
      </c>
      <c r="K23" s="88">
        <f t="shared" si="4"/>
        <v>1.5642889287969406</v>
      </c>
      <c r="L23" s="80">
        <f>Datos!$L$18*FGP!K23/100</f>
        <v>-394329.08018470154</v>
      </c>
      <c r="M23" s="89">
        <f t="shared" si="5"/>
        <v>-1544880.0515516629</v>
      </c>
      <c r="N23" s="88">
        <f t="shared" si="6"/>
        <v>6.1284822307032822</v>
      </c>
      <c r="O23" s="88">
        <f t="shared" si="7"/>
        <v>0.16317253805356038</v>
      </c>
      <c r="P23" s="88">
        <f t="shared" si="8"/>
        <v>2.2976002332466257</v>
      </c>
      <c r="Q23" s="88">
        <f t="shared" si="9"/>
        <v>0.22976002332466258</v>
      </c>
      <c r="R23" s="82">
        <f t="shared" si="10"/>
        <v>-57918.36596996757</v>
      </c>
      <c r="S23" s="83">
        <f t="shared" si="11"/>
        <v>-1602798.4175216304</v>
      </c>
      <c r="T23" s="84" t="e">
        <f>#REF!+K23+E23</f>
        <v>#REF!</v>
      </c>
      <c r="U23" s="85"/>
      <c r="V23" s="86"/>
      <c r="W23" s="86"/>
    </row>
    <row r="24" spans="2:23" s="87" customFormat="1" ht="16.5" customHeight="1" x14ac:dyDescent="0.25">
      <c r="B24" s="73" t="s">
        <v>82</v>
      </c>
      <c r="C24" s="74">
        <f>'CENSO 2020'!C26</f>
        <v>37135</v>
      </c>
      <c r="D24" s="75">
        <f t="shared" si="0"/>
        <v>3.0057727673021133</v>
      </c>
      <c r="E24" s="76">
        <f t="shared" si="1"/>
        <v>1.8034636603812679</v>
      </c>
      <c r="F24" s="77">
        <f>Datos!$L$18*FGP!E24/100</f>
        <v>-454620.7246327672</v>
      </c>
      <c r="G24" s="78">
        <f>'Predial y Agua'!D25</f>
        <v>4339926</v>
      </c>
      <c r="H24" s="79">
        <f>'Predial y Agua'!G25</f>
        <v>4883574</v>
      </c>
      <c r="I24" s="75">
        <f t="shared" si="2"/>
        <v>1.1252666520120389</v>
      </c>
      <c r="J24" s="75">
        <f t="shared" si="3"/>
        <v>5.3318613766369403</v>
      </c>
      <c r="K24" s="88">
        <f t="shared" si="4"/>
        <v>1.599558412991082</v>
      </c>
      <c r="L24" s="80">
        <f>Datos!$L$18*FGP!K24/100</f>
        <v>-403219.88226405962</v>
      </c>
      <c r="M24" s="89">
        <f t="shared" si="5"/>
        <v>-857840.60689682676</v>
      </c>
      <c r="N24" s="88">
        <f t="shared" si="6"/>
        <v>3.40302207337235</v>
      </c>
      <c r="O24" s="88">
        <f t="shared" si="7"/>
        <v>0.29385645418662043</v>
      </c>
      <c r="P24" s="88">
        <f t="shared" si="8"/>
        <v>4.1377346073920043</v>
      </c>
      <c r="Q24" s="88">
        <f t="shared" si="9"/>
        <v>0.41377346073920046</v>
      </c>
      <c r="R24" s="82">
        <f t="shared" si="10"/>
        <v>-104304.84111628568</v>
      </c>
      <c r="S24" s="83">
        <f t="shared" si="11"/>
        <v>-962145.44801311241</v>
      </c>
      <c r="T24" s="84" t="e">
        <f>#REF!+K24+E24</f>
        <v>#REF!</v>
      </c>
      <c r="U24" s="85"/>
      <c r="V24" s="86"/>
      <c r="W24" s="86"/>
    </row>
    <row r="25" spans="2:23" s="87" customFormat="1" ht="16.5" customHeight="1" x14ac:dyDescent="0.25">
      <c r="B25" s="73" t="s">
        <v>83</v>
      </c>
      <c r="C25" s="74">
        <f>'CENSO 2020'!C27</f>
        <v>425924</v>
      </c>
      <c r="D25" s="75">
        <f t="shared" si="0"/>
        <v>34.475044032324909</v>
      </c>
      <c r="E25" s="76">
        <f t="shared" si="1"/>
        <v>20.685026419394944</v>
      </c>
      <c r="F25" s="77">
        <f>Datos!$L$18*FGP!E25/100</f>
        <v>-5214322.809168891</v>
      </c>
      <c r="G25" s="78">
        <f>'Predial y Agua'!D26</f>
        <v>249740346</v>
      </c>
      <c r="H25" s="79">
        <f>'Predial y Agua'!G26</f>
        <v>288565311</v>
      </c>
      <c r="I25" s="75">
        <f t="shared" si="2"/>
        <v>1.1554613246191305</v>
      </c>
      <c r="J25" s="75">
        <f t="shared" si="3"/>
        <v>5.4749330729020729</v>
      </c>
      <c r="K25" s="88">
        <f t="shared" si="4"/>
        <v>1.6424799218706219</v>
      </c>
      <c r="L25" s="80">
        <f>Datos!$L$18*FGP!K25/100</f>
        <v>-414039.62202251027</v>
      </c>
      <c r="M25" s="89">
        <f t="shared" si="5"/>
        <v>-5628362.4311914016</v>
      </c>
      <c r="N25" s="88">
        <f t="shared" si="6"/>
        <v>22.327506341265565</v>
      </c>
      <c r="O25" s="88">
        <f t="shared" si="7"/>
        <v>4.4787804993332639E-2</v>
      </c>
      <c r="P25" s="88">
        <f t="shared" si="8"/>
        <v>0.63064822320473857</v>
      </c>
      <c r="Q25" s="88">
        <f t="shared" si="9"/>
        <v>6.3064822320473862E-2</v>
      </c>
      <c r="R25" s="82">
        <f t="shared" si="10"/>
        <v>-15897.506477124871</v>
      </c>
      <c r="S25" s="83">
        <f t="shared" si="11"/>
        <v>-5644259.9376685265</v>
      </c>
      <c r="T25" s="84" t="e">
        <f>#REF!+K25+E25</f>
        <v>#REF!</v>
      </c>
      <c r="U25" s="85"/>
      <c r="V25" s="86"/>
      <c r="W25" s="86"/>
    </row>
    <row r="26" spans="2:23" s="87" customFormat="1" ht="16.5" customHeight="1" x14ac:dyDescent="0.25">
      <c r="B26" s="73" t="s">
        <v>84</v>
      </c>
      <c r="C26" s="74">
        <f>'CENSO 2020'!C28</f>
        <v>30064</v>
      </c>
      <c r="D26" s="75">
        <f t="shared" si="0"/>
        <v>2.4334334852880231</v>
      </c>
      <c r="E26" s="76">
        <f t="shared" si="1"/>
        <v>1.4600600911728139</v>
      </c>
      <c r="F26" s="77">
        <f>Datos!$L$18*FGP!E26/100</f>
        <v>-368054.86644296529</v>
      </c>
      <c r="G26" s="78">
        <f>'Predial y Agua'!D27</f>
        <v>2607273</v>
      </c>
      <c r="H26" s="79">
        <f>'Predial y Agua'!G27</f>
        <v>3116609</v>
      </c>
      <c r="I26" s="75">
        <f t="shared" si="2"/>
        <v>1.1953520018808923</v>
      </c>
      <c r="J26" s="75">
        <f t="shared" si="3"/>
        <v>5.6639474376302665</v>
      </c>
      <c r="K26" s="88">
        <f t="shared" si="4"/>
        <v>1.6991842312890799</v>
      </c>
      <c r="L26" s="80">
        <f>Datos!$L$18*FGP!K26/100</f>
        <v>-428333.7576926297</v>
      </c>
      <c r="M26" s="89">
        <f t="shared" si="5"/>
        <v>-796388.62413559505</v>
      </c>
      <c r="N26" s="88">
        <f t="shared" si="6"/>
        <v>3.1592443224618938</v>
      </c>
      <c r="O26" s="88">
        <f t="shared" si="7"/>
        <v>0.31653139103237615</v>
      </c>
      <c r="P26" s="88">
        <f t="shared" si="8"/>
        <v>4.4570159080760687</v>
      </c>
      <c r="Q26" s="88">
        <f t="shared" si="9"/>
        <v>0.44570159080760691</v>
      </c>
      <c r="R26" s="82">
        <f t="shared" si="10"/>
        <v>-112353.34796826157</v>
      </c>
      <c r="S26" s="83">
        <f t="shared" si="11"/>
        <v>-908741.97210385662</v>
      </c>
      <c r="T26" s="84" t="e">
        <f>#REF!+K26+E26</f>
        <v>#REF!</v>
      </c>
      <c r="U26" s="85"/>
      <c r="V26" s="86"/>
      <c r="W26" s="86"/>
    </row>
    <row r="27" spans="2:23" s="87" customFormat="1" ht="16.5" customHeight="1" thickBot="1" x14ac:dyDescent="0.3">
      <c r="B27" s="90" t="s">
        <v>85</v>
      </c>
      <c r="C27" s="327">
        <f>'CENSO 2020'!C29</f>
        <v>65229</v>
      </c>
      <c r="D27" s="91">
        <f t="shared" si="0"/>
        <v>5.2797509583506006</v>
      </c>
      <c r="E27" s="92">
        <f t="shared" si="1"/>
        <v>3.1678505750103603</v>
      </c>
      <c r="F27" s="93">
        <f>Datos!$L$18*FGP!E27/100</f>
        <v>-798558.10548191133</v>
      </c>
      <c r="G27" s="78">
        <f>'Predial y Agua'!D28</f>
        <v>37799533</v>
      </c>
      <c r="H27" s="79">
        <f>'Predial y Agua'!G28</f>
        <v>45690433</v>
      </c>
      <c r="I27" s="94">
        <f t="shared" si="2"/>
        <v>1.2087565473361801</v>
      </c>
      <c r="J27" s="91">
        <f t="shared" si="3"/>
        <v>5.7274623192422194</v>
      </c>
      <c r="K27" s="94">
        <f t="shared" si="4"/>
        <v>1.7182386957726659</v>
      </c>
      <c r="L27" s="95">
        <f>Datos!$L$18*FGP!K27/100</f>
        <v>-433137.04518952651</v>
      </c>
      <c r="M27" s="96">
        <f t="shared" si="5"/>
        <v>-1231695.1506714378</v>
      </c>
      <c r="N27" s="94">
        <f t="shared" si="6"/>
        <v>4.8860892707830264</v>
      </c>
      <c r="O27" s="94">
        <f t="shared" si="7"/>
        <v>0.20466265444219847</v>
      </c>
      <c r="P27" s="94">
        <f t="shared" si="8"/>
        <v>2.8818143554825237</v>
      </c>
      <c r="Q27" s="94">
        <f t="shared" si="9"/>
        <v>0.28818143554825237</v>
      </c>
      <c r="R27" s="97">
        <f t="shared" si="10"/>
        <v>-72645.35234769313</v>
      </c>
      <c r="S27" s="83">
        <f t="shared" si="11"/>
        <v>-1304340.503019131</v>
      </c>
      <c r="T27" s="84" t="e">
        <f>#REF!+K27+E27</f>
        <v>#REF!</v>
      </c>
      <c r="U27" s="85"/>
      <c r="V27" s="86"/>
      <c r="W27" s="86"/>
    </row>
    <row r="28" spans="2:23" s="87" customFormat="1" ht="16.5" customHeight="1" thickBot="1" x14ac:dyDescent="0.3">
      <c r="B28" s="98" t="s">
        <v>86</v>
      </c>
      <c r="C28" s="99">
        <f>SUM(C8:C27)</f>
        <v>1235456</v>
      </c>
      <c r="D28" s="100">
        <f>SUM(D8:D27)</f>
        <v>100</v>
      </c>
      <c r="E28" s="103">
        <f t="shared" ref="E28:L28" si="12">SUM(E8:E27)</f>
        <v>59.999999999999993</v>
      </c>
      <c r="F28" s="101">
        <f t="shared" si="12"/>
        <v>-15124919.940000003</v>
      </c>
      <c r="G28" s="101">
        <f t="shared" si="12"/>
        <v>687130414</v>
      </c>
      <c r="H28" s="101">
        <f t="shared" si="12"/>
        <v>795617286</v>
      </c>
      <c r="I28" s="102">
        <f t="shared" si="12"/>
        <v>21.104574416407623</v>
      </c>
      <c r="J28" s="103">
        <f t="shared" si="12"/>
        <v>99.999999999999986</v>
      </c>
      <c r="K28" s="103">
        <f t="shared" si="12"/>
        <v>29.999999999999993</v>
      </c>
      <c r="L28" s="104">
        <f t="shared" si="12"/>
        <v>-7562459.9700000007</v>
      </c>
      <c r="M28" s="105">
        <f t="shared" si="5"/>
        <v>-22687379.910000004</v>
      </c>
      <c r="N28" s="106">
        <f t="shared" ref="N28:S28" si="13">SUM(N8:N27)</f>
        <v>90</v>
      </c>
      <c r="O28" s="106">
        <f t="shared" si="13"/>
        <v>7.1018681010050786</v>
      </c>
      <c r="P28" s="106">
        <f t="shared" si="13"/>
        <v>100</v>
      </c>
      <c r="Q28" s="106">
        <f t="shared" si="13"/>
        <v>10</v>
      </c>
      <c r="R28" s="107">
        <f>Datos!L17</f>
        <v>-2520819.9900000002</v>
      </c>
      <c r="S28" s="105">
        <f t="shared" si="13"/>
        <v>-25208199.900000006</v>
      </c>
      <c r="T28" s="84" t="e">
        <f>#REF!+K28+E28</f>
        <v>#REF!</v>
      </c>
      <c r="U28" s="85"/>
      <c r="V28" s="86"/>
      <c r="W28" s="86"/>
    </row>
    <row r="29" spans="2:23" s="87" customFormat="1" ht="21.75" customHeight="1" x14ac:dyDescent="0.25">
      <c r="B29" s="108" t="s">
        <v>87</v>
      </c>
      <c r="C29" s="109"/>
      <c r="D29" s="110"/>
      <c r="E29" s="111"/>
      <c r="F29" s="112"/>
      <c r="G29" s="112"/>
      <c r="H29" s="112"/>
      <c r="I29" s="110"/>
      <c r="J29" s="113"/>
      <c r="K29" s="111"/>
      <c r="L29" s="109"/>
      <c r="M29" s="114"/>
      <c r="N29" s="113"/>
      <c r="O29" s="113"/>
      <c r="P29" s="113"/>
      <c r="Q29" s="113"/>
      <c r="R29" s="109"/>
      <c r="S29" s="114"/>
    </row>
    <row r="30" spans="2:23" s="87" customFormat="1" ht="23.25" customHeight="1" x14ac:dyDescent="0.25">
      <c r="B30" s="115" t="s">
        <v>225</v>
      </c>
      <c r="C30" s="115"/>
      <c r="D30" s="115"/>
      <c r="E30" s="115"/>
      <c r="F30" s="115"/>
      <c r="G30" s="115"/>
      <c r="H30" s="115"/>
      <c r="I30" s="115"/>
      <c r="J30" s="115"/>
      <c r="K30" s="115"/>
      <c r="L30" s="115"/>
      <c r="M30" s="115"/>
      <c r="N30" s="115"/>
      <c r="O30" s="115"/>
      <c r="P30" s="115"/>
      <c r="Q30" s="115"/>
      <c r="R30" s="115"/>
      <c r="S30" s="115"/>
    </row>
    <row r="31" spans="2:23" x14ac:dyDescent="0.25">
      <c r="C31" s="363"/>
      <c r="D31" s="363"/>
      <c r="E31" s="363"/>
      <c r="F31" s="363"/>
      <c r="G31" s="363"/>
      <c r="H31" s="363"/>
      <c r="I31" s="363"/>
      <c r="J31" s="363"/>
      <c r="K31" s="363"/>
      <c r="L31" s="363"/>
      <c r="M31" s="363"/>
      <c r="N31" s="363"/>
      <c r="O31" s="363"/>
      <c r="P31" s="363"/>
      <c r="Q31" s="363"/>
      <c r="R31" s="363"/>
      <c r="S31" s="363"/>
    </row>
    <row r="32" spans="2:23" x14ac:dyDescent="0.25">
      <c r="C32" s="363"/>
      <c r="D32" s="363"/>
      <c r="E32" s="363"/>
      <c r="F32" s="363"/>
      <c r="G32" s="363"/>
      <c r="H32" s="363"/>
      <c r="I32" s="363"/>
      <c r="J32" s="363"/>
      <c r="K32" s="363"/>
      <c r="L32" s="363"/>
      <c r="M32" s="363"/>
      <c r="N32" s="363"/>
      <c r="O32" s="363"/>
      <c r="P32" s="363"/>
      <c r="Q32" s="363"/>
      <c r="R32" s="363"/>
      <c r="S32" s="363"/>
    </row>
    <row r="33" spans="3:19" x14ac:dyDescent="0.25">
      <c r="C33" s="351"/>
      <c r="D33" s="351"/>
      <c r="E33" s="351"/>
      <c r="F33" s="351"/>
      <c r="G33" s="351"/>
      <c r="H33" s="351"/>
      <c r="I33" s="351"/>
      <c r="J33" s="351"/>
      <c r="K33" s="351"/>
      <c r="L33" s="351"/>
      <c r="M33" s="351"/>
      <c r="N33" s="351"/>
      <c r="O33" s="351"/>
      <c r="P33" s="351"/>
      <c r="Q33" s="351"/>
      <c r="R33" s="351"/>
      <c r="S33" s="351"/>
    </row>
    <row r="34" spans="3:19" x14ac:dyDescent="0.25">
      <c r="R34" s="116"/>
    </row>
  </sheetData>
  <mergeCells count="22">
    <mergeCell ref="T3:T7"/>
    <mergeCell ref="D4:D5"/>
    <mergeCell ref="F4:F6"/>
    <mergeCell ref="G4:H5"/>
    <mergeCell ref="I4:I6"/>
    <mergeCell ref="B2:S2"/>
    <mergeCell ref="B3:B7"/>
    <mergeCell ref="C3:F3"/>
    <mergeCell ref="G3:L3"/>
    <mergeCell ref="M3:R3"/>
    <mergeCell ref="C33:S33"/>
    <mergeCell ref="J4:J6"/>
    <mergeCell ref="L4:L6"/>
    <mergeCell ref="M4:M6"/>
    <mergeCell ref="N4:N6"/>
    <mergeCell ref="O4:O6"/>
    <mergeCell ref="P4:P7"/>
    <mergeCell ref="Q4:Q6"/>
    <mergeCell ref="R4:R6"/>
    <mergeCell ref="S4:S6"/>
    <mergeCell ref="C31:S31"/>
    <mergeCell ref="C32:S32"/>
  </mergeCells>
  <pageMargins left="0.73" right="0.31" top="0.74803149606299213" bottom="0.74803149606299213" header="0.31496062992125984" footer="0.31496062992125984"/>
  <pageSetup paperSize="5"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Z59"/>
  <sheetViews>
    <sheetView zoomScale="80" zoomScaleNormal="80" workbookViewId="0">
      <selection activeCell="B9" sqref="B9"/>
    </sheetView>
  </sheetViews>
  <sheetFormatPr baseColWidth="10" defaultRowHeight="15" x14ac:dyDescent="0.2"/>
  <cols>
    <col min="1" max="1" width="18.77734375" customWidth="1"/>
    <col min="2" max="2" width="11.88671875" bestFit="1" customWidth="1"/>
    <col min="3" max="3" width="10.21875" customWidth="1"/>
    <col min="4" max="5" width="11.88671875" bestFit="1" customWidth="1"/>
    <col min="6" max="6" width="11" bestFit="1" customWidth="1"/>
    <col min="7" max="7" width="11.88671875" customWidth="1"/>
    <col min="8" max="8" width="14.109375" customWidth="1"/>
    <col min="9" max="9" width="15.5546875" hidden="1" customWidth="1"/>
    <col min="10" max="10" width="0" hidden="1" customWidth="1"/>
    <col min="11" max="11" width="12.6640625" hidden="1" customWidth="1"/>
    <col min="12" max="12" width="11.33203125" hidden="1" customWidth="1"/>
    <col min="13" max="13" width="11.109375" hidden="1" customWidth="1"/>
    <col min="14" max="14" width="14" hidden="1" customWidth="1"/>
    <col min="15" max="22" width="0" hidden="1" customWidth="1"/>
  </cols>
  <sheetData>
    <row r="1" spans="1:26" ht="15.75" x14ac:dyDescent="0.25">
      <c r="A1" s="381"/>
      <c r="B1" s="381"/>
      <c r="C1" s="381"/>
      <c r="D1" s="381"/>
      <c r="E1" s="381"/>
      <c r="F1" s="381"/>
      <c r="G1" s="381"/>
      <c r="H1" s="381"/>
      <c r="I1" s="381"/>
      <c r="J1" s="58"/>
      <c r="K1" s="58"/>
      <c r="L1" s="58"/>
      <c r="M1" s="58"/>
      <c r="N1" s="58"/>
      <c r="O1" s="58"/>
      <c r="P1" s="58"/>
      <c r="Q1" s="58"/>
      <c r="R1" s="58"/>
      <c r="S1" s="58"/>
      <c r="T1" s="58"/>
      <c r="U1" s="58"/>
      <c r="V1" s="58"/>
      <c r="W1" s="58"/>
      <c r="X1" s="58"/>
      <c r="Y1" s="58"/>
      <c r="Z1" s="58"/>
    </row>
    <row r="2" spans="1:26" ht="15" customHeight="1" thickBot="1" x14ac:dyDescent="0.3">
      <c r="A2" s="382" t="s">
        <v>219</v>
      </c>
      <c r="B2" s="383"/>
      <c r="C2" s="383"/>
      <c r="D2" s="383"/>
      <c r="E2" s="383"/>
      <c r="F2" s="383"/>
      <c r="G2" s="383"/>
      <c r="H2" s="383"/>
      <c r="I2" s="384"/>
      <c r="J2" s="58"/>
      <c r="K2" s="58"/>
      <c r="L2" s="58"/>
      <c r="M2" s="58"/>
      <c r="N2" s="58"/>
      <c r="O2" s="58"/>
      <c r="P2" s="58"/>
      <c r="Q2" s="58"/>
      <c r="R2" s="58"/>
      <c r="S2" s="58"/>
      <c r="T2" s="58"/>
      <c r="U2" s="58"/>
      <c r="V2" s="58"/>
      <c r="W2" s="58"/>
      <c r="X2" s="58"/>
      <c r="Y2" s="58"/>
      <c r="Z2" s="58"/>
    </row>
    <row r="3" spans="1:26" ht="15" customHeight="1" thickBot="1" x14ac:dyDescent="0.3">
      <c r="A3" s="385" t="s">
        <v>88</v>
      </c>
      <c r="B3" s="367" t="s">
        <v>37</v>
      </c>
      <c r="C3" s="368"/>
      <c r="D3" s="369"/>
      <c r="E3" s="367" t="s">
        <v>38</v>
      </c>
      <c r="F3" s="368"/>
      <c r="G3" s="368"/>
      <c r="H3" s="369"/>
      <c r="I3" s="117"/>
      <c r="J3" s="58"/>
      <c r="K3" s="58"/>
      <c r="L3" s="58"/>
      <c r="M3" s="58"/>
      <c r="N3" s="58"/>
      <c r="O3" s="58"/>
      <c r="P3" s="58"/>
      <c r="Q3" s="58"/>
      <c r="R3" s="58"/>
      <c r="S3" s="58"/>
      <c r="T3" s="58"/>
      <c r="U3" s="58"/>
      <c r="V3" s="58"/>
      <c r="W3" s="58"/>
      <c r="X3" s="58"/>
      <c r="Y3" s="58"/>
      <c r="Z3" s="58"/>
    </row>
    <row r="4" spans="1:26" ht="15" customHeight="1" x14ac:dyDescent="0.25">
      <c r="A4" s="386"/>
      <c r="B4" s="118" t="s">
        <v>48</v>
      </c>
      <c r="C4" s="119" t="s">
        <v>49</v>
      </c>
      <c r="D4" s="120" t="s">
        <v>198</v>
      </c>
      <c r="E4" s="388" t="s">
        <v>196</v>
      </c>
      <c r="F4" s="389"/>
      <c r="G4" s="328" t="s">
        <v>198</v>
      </c>
      <c r="H4" s="390" t="s">
        <v>235</v>
      </c>
      <c r="I4" s="121" t="s">
        <v>89</v>
      </c>
      <c r="J4" s="58"/>
      <c r="K4" s="58"/>
      <c r="L4" s="58"/>
      <c r="M4" s="58"/>
      <c r="N4" s="58"/>
      <c r="O4" s="58"/>
      <c r="P4" s="58"/>
      <c r="Q4" s="58"/>
      <c r="R4" s="58"/>
      <c r="S4" s="58"/>
      <c r="T4" s="58"/>
      <c r="U4" s="58"/>
      <c r="V4" s="58"/>
      <c r="W4" s="58"/>
      <c r="X4" s="58"/>
      <c r="Y4" s="58"/>
      <c r="Z4" s="58"/>
    </row>
    <row r="5" spans="1:26" ht="16.5" thickBot="1" x14ac:dyDescent="0.3">
      <c r="A5" s="386"/>
      <c r="B5" s="118" t="s">
        <v>90</v>
      </c>
      <c r="C5" s="122" t="s">
        <v>91</v>
      </c>
      <c r="D5" s="123" t="s">
        <v>197</v>
      </c>
      <c r="E5" s="393">
        <v>2019</v>
      </c>
      <c r="F5" s="394"/>
      <c r="G5" s="123" t="s">
        <v>195</v>
      </c>
      <c r="H5" s="391"/>
      <c r="I5" s="124" t="s">
        <v>92</v>
      </c>
      <c r="J5" s="58"/>
      <c r="K5" s="58"/>
      <c r="L5" s="58"/>
      <c r="M5" s="58"/>
      <c r="N5" s="58"/>
      <c r="O5" s="58"/>
      <c r="P5" s="58"/>
      <c r="Q5" s="58"/>
      <c r="R5" s="58"/>
      <c r="S5" s="58"/>
      <c r="T5" s="58"/>
      <c r="U5" s="58"/>
      <c r="V5" s="58"/>
      <c r="W5" s="58"/>
      <c r="X5" s="58"/>
      <c r="Y5" s="58"/>
      <c r="Z5" s="58"/>
    </row>
    <row r="6" spans="1:26" ht="16.5" thickBot="1" x14ac:dyDescent="0.3">
      <c r="A6" s="386"/>
      <c r="B6" s="125" t="s">
        <v>199</v>
      </c>
      <c r="C6" s="126"/>
      <c r="D6" s="127" t="s">
        <v>93</v>
      </c>
      <c r="E6" s="128" t="s">
        <v>48</v>
      </c>
      <c r="F6" s="129" t="s">
        <v>49</v>
      </c>
      <c r="G6" s="127" t="s">
        <v>93</v>
      </c>
      <c r="H6" s="392"/>
      <c r="I6" s="125" t="s">
        <v>94</v>
      </c>
      <c r="J6" s="58"/>
      <c r="K6" s="58"/>
      <c r="L6" s="58"/>
      <c r="M6" s="58"/>
      <c r="N6" s="58"/>
      <c r="O6" s="58"/>
      <c r="P6" s="58"/>
      <c r="Q6" s="58"/>
      <c r="R6" s="58"/>
      <c r="S6" s="58"/>
      <c r="T6" s="58"/>
      <c r="U6" s="58"/>
      <c r="V6" s="58"/>
      <c r="W6" s="58"/>
      <c r="X6" s="58"/>
      <c r="Y6" s="58"/>
      <c r="Z6" s="58"/>
    </row>
    <row r="7" spans="1:26" ht="16.5" thickBot="1" x14ac:dyDescent="0.3">
      <c r="A7" s="387"/>
      <c r="B7" s="130" t="s">
        <v>50</v>
      </c>
      <c r="C7" s="131" t="s">
        <v>95</v>
      </c>
      <c r="D7" s="132" t="s">
        <v>96</v>
      </c>
      <c r="E7" s="133" t="s">
        <v>53</v>
      </c>
      <c r="F7" s="134" t="s">
        <v>54</v>
      </c>
      <c r="G7" s="132" t="s">
        <v>97</v>
      </c>
      <c r="H7" s="132" t="s">
        <v>98</v>
      </c>
      <c r="I7" s="135" t="s">
        <v>99</v>
      </c>
      <c r="J7" s="58"/>
      <c r="K7" s="58" t="s">
        <v>100</v>
      </c>
      <c r="L7" s="58" t="s">
        <v>101</v>
      </c>
      <c r="M7" s="58" t="s">
        <v>102</v>
      </c>
      <c r="N7" s="58" t="s">
        <v>100</v>
      </c>
      <c r="O7" s="58" t="s">
        <v>101</v>
      </c>
      <c r="P7" s="58" t="s">
        <v>102</v>
      </c>
      <c r="Q7" s="136" t="s">
        <v>103</v>
      </c>
      <c r="R7" s="136" t="s">
        <v>104</v>
      </c>
      <c r="S7" s="136" t="s">
        <v>105</v>
      </c>
      <c r="T7" s="136" t="s">
        <v>104</v>
      </c>
      <c r="U7" s="58"/>
      <c r="V7" s="58"/>
      <c r="W7" s="58"/>
      <c r="X7" s="58"/>
      <c r="Y7" s="58"/>
      <c r="Z7" s="58"/>
    </row>
    <row r="8" spans="1:26" ht="25.5" customHeight="1" x14ac:dyDescent="0.25">
      <c r="A8" s="137" t="s">
        <v>66</v>
      </c>
      <c r="B8" s="138">
        <f>'CENSO 2020'!C10</f>
        <v>37232</v>
      </c>
      <c r="C8" s="139">
        <f t="shared" ref="C8:C28" si="0">B8/B$28*100</f>
        <v>3.0136241193535018</v>
      </c>
      <c r="D8" s="140">
        <f>Datos!$L$27*FFM!C8/100</f>
        <v>-5926.442511914629</v>
      </c>
      <c r="E8" s="141">
        <f>'Predial y Agua'!G9</f>
        <v>11337932</v>
      </c>
      <c r="F8" s="142">
        <f>E8/E$28*100</f>
        <v>1.4250484748769019</v>
      </c>
      <c r="G8" s="141">
        <f>Datos!$L$28*FFM!F8/100</f>
        <v>-2802.4290782691714</v>
      </c>
      <c r="H8" s="143">
        <f>D8+G8</f>
        <v>-8728.8715901838004</v>
      </c>
      <c r="I8" s="144" t="e">
        <f>D8+G8+#REF!</f>
        <v>#REF!</v>
      </c>
      <c r="J8" s="145">
        <f t="shared" ref="J8:J27" si="1">C8+F8</f>
        <v>4.4386725942304039</v>
      </c>
      <c r="K8" s="145">
        <f>J8/2</f>
        <v>2.219336297115202</v>
      </c>
      <c r="L8" s="145">
        <f>2.480738</f>
        <v>2.4807380000000001</v>
      </c>
      <c r="M8" s="146">
        <f>K8-L8</f>
        <v>-0.26140170288479814</v>
      </c>
      <c r="N8" s="145" t="e">
        <f>#REF!</f>
        <v>#REF!</v>
      </c>
      <c r="O8" s="58"/>
      <c r="P8" s="145" t="e">
        <f>N8-O8</f>
        <v>#REF!</v>
      </c>
      <c r="Q8" s="136">
        <v>3.3898570000000001</v>
      </c>
      <c r="R8" s="147">
        <f>K8-Q8</f>
        <v>-1.1705207028847981</v>
      </c>
      <c r="S8" s="136"/>
      <c r="T8" s="136"/>
      <c r="U8" s="58"/>
      <c r="V8" s="58"/>
      <c r="W8" s="58"/>
      <c r="X8" s="58"/>
      <c r="Y8" s="145"/>
      <c r="Z8" s="145"/>
    </row>
    <row r="9" spans="1:26" ht="25.5" customHeight="1" x14ac:dyDescent="0.25">
      <c r="A9" s="137" t="s">
        <v>67</v>
      </c>
      <c r="B9" s="138">
        <f>'CENSO 2020'!C11</f>
        <v>15393</v>
      </c>
      <c r="C9" s="139">
        <f t="shared" si="0"/>
        <v>1.2459367229589724</v>
      </c>
      <c r="D9" s="140">
        <f>Datos!$L$27*FFM!C9/100</f>
        <v>-2450.1968625349673</v>
      </c>
      <c r="E9" s="141">
        <f>'Predial y Agua'!G10</f>
        <v>4476557</v>
      </c>
      <c r="F9" s="142">
        <f t="shared" ref="F9:F27" si="2">E9/E$28*100</f>
        <v>0.56265205379160155</v>
      </c>
      <c r="G9" s="141">
        <f>Datos!$L$28*FFM!F9/100</f>
        <v>-1106.4833963838742</v>
      </c>
      <c r="H9" s="143">
        <f t="shared" ref="H9:H27" si="3">D9+G9</f>
        <v>-3556.6802589188414</v>
      </c>
      <c r="I9" s="144" t="e">
        <f>D9+G9+#REF!</f>
        <v>#REF!</v>
      </c>
      <c r="J9" s="145">
        <f t="shared" si="1"/>
        <v>1.8085887767505739</v>
      </c>
      <c r="K9" s="145">
        <f t="shared" ref="K9:K28" si="4">J9/2</f>
        <v>0.90429438837528697</v>
      </c>
      <c r="L9" s="145">
        <v>1.0658129999999999</v>
      </c>
      <c r="M9" s="146">
        <f t="shared" ref="M9:M27" si="5">K9-L9</f>
        <v>-0.16151861162471293</v>
      </c>
      <c r="N9" s="145" t="e">
        <f>#REF!</f>
        <v>#REF!</v>
      </c>
      <c r="O9" s="58"/>
      <c r="P9" s="145" t="e">
        <f t="shared" ref="P9:P27" si="6">N9-O9</f>
        <v>#REF!</v>
      </c>
      <c r="Q9" s="136">
        <v>1.4561059999999999</v>
      </c>
      <c r="R9" s="147">
        <f t="shared" ref="R9:R27" si="7">K9-Q9</f>
        <v>-0.55181161162471293</v>
      </c>
      <c r="S9" s="136"/>
      <c r="T9" s="136"/>
      <c r="U9" s="58"/>
      <c r="V9" s="58"/>
      <c r="W9" s="58"/>
      <c r="X9" s="58"/>
      <c r="Y9" s="145"/>
      <c r="Z9" s="145"/>
    </row>
    <row r="10" spans="1:26" ht="25.5" customHeight="1" x14ac:dyDescent="0.25">
      <c r="A10" s="137" t="s">
        <v>68</v>
      </c>
      <c r="B10" s="138">
        <f>'CENSO 2020'!C12</f>
        <v>11536</v>
      </c>
      <c r="C10" s="139">
        <f t="shared" si="0"/>
        <v>0.93374430169912959</v>
      </c>
      <c r="D10" s="140">
        <f>Datos!$L$27*FFM!C10/100</f>
        <v>-1836.2548565064235</v>
      </c>
      <c r="E10" s="141">
        <f>'Predial y Agua'!G11</f>
        <v>3050109</v>
      </c>
      <c r="F10" s="142">
        <f t="shared" si="2"/>
        <v>0.38336384260007139</v>
      </c>
      <c r="G10" s="141">
        <f>Datos!$L$28*FFM!F10/100</f>
        <v>-753.90416466517036</v>
      </c>
      <c r="H10" s="143">
        <f t="shared" si="3"/>
        <v>-2590.1590211715938</v>
      </c>
      <c r="I10" s="144" t="e">
        <f>D10+G10+#REF!</f>
        <v>#REF!</v>
      </c>
      <c r="J10" s="145">
        <f t="shared" si="1"/>
        <v>1.317108144299201</v>
      </c>
      <c r="K10" s="145">
        <f t="shared" si="4"/>
        <v>0.65855407214960049</v>
      </c>
      <c r="L10" s="145">
        <v>0.85747200000000001</v>
      </c>
      <c r="M10" s="146">
        <f t="shared" si="5"/>
        <v>-0.19891792785039952</v>
      </c>
      <c r="N10" s="145" t="e">
        <f>#REF!</f>
        <v>#REF!</v>
      </c>
      <c r="O10" s="58"/>
      <c r="P10" s="145" t="e">
        <f t="shared" si="6"/>
        <v>#REF!</v>
      </c>
      <c r="Q10" s="136">
        <v>1.167629</v>
      </c>
      <c r="R10" s="147">
        <f t="shared" si="7"/>
        <v>-0.50907492785039954</v>
      </c>
      <c r="S10" s="136"/>
      <c r="T10" s="136"/>
      <c r="U10" s="58"/>
      <c r="V10" s="58"/>
      <c r="W10" s="58"/>
      <c r="X10" s="58"/>
      <c r="Y10" s="145"/>
      <c r="Z10" s="145"/>
    </row>
    <row r="11" spans="1:26" ht="25.5" customHeight="1" x14ac:dyDescent="0.25">
      <c r="A11" s="137" t="s">
        <v>69</v>
      </c>
      <c r="B11" s="138">
        <f>'CENSO 2020'!C13</f>
        <v>187632</v>
      </c>
      <c r="C11" s="139">
        <f t="shared" si="0"/>
        <v>15.187266887691669</v>
      </c>
      <c r="D11" s="140">
        <f>Datos!$L$27*FFM!C11/100</f>
        <v>-29866.51969799005</v>
      </c>
      <c r="E11" s="141">
        <f>'Predial y Agua'!G12</f>
        <v>323649261</v>
      </c>
      <c r="F11" s="142">
        <f t="shared" si="2"/>
        <v>40.679013225964525</v>
      </c>
      <c r="G11" s="141">
        <f>Datos!$L$28*FFM!F11/100</f>
        <v>-79997.313459520534</v>
      </c>
      <c r="H11" s="143">
        <f t="shared" si="3"/>
        <v>-109863.83315751058</v>
      </c>
      <c r="I11" s="144" t="e">
        <f>D11+G11+#REF!</f>
        <v>#REF!</v>
      </c>
      <c r="J11" s="145">
        <f t="shared" si="1"/>
        <v>55.866280113656195</v>
      </c>
      <c r="K11" s="145">
        <f t="shared" si="4"/>
        <v>27.933140056828098</v>
      </c>
      <c r="L11" s="145">
        <v>26.514603000000001</v>
      </c>
      <c r="M11" s="146">
        <f t="shared" si="5"/>
        <v>1.4185370568280966</v>
      </c>
      <c r="N11" s="145" t="e">
        <f>#REF!</f>
        <v>#REF!</v>
      </c>
      <c r="O11" s="58"/>
      <c r="P11" s="145" t="e">
        <f t="shared" si="6"/>
        <v>#REF!</v>
      </c>
      <c r="Q11" s="136">
        <v>39.874909000000002</v>
      </c>
      <c r="R11" s="147">
        <f t="shared" si="7"/>
        <v>-11.941768943171905</v>
      </c>
      <c r="S11" s="136"/>
      <c r="T11" s="136"/>
      <c r="U11" s="58"/>
      <c r="V11" s="58"/>
      <c r="W11" s="58"/>
      <c r="X11" s="58"/>
      <c r="Y11" s="145"/>
      <c r="Z11" s="145"/>
    </row>
    <row r="12" spans="1:26" ht="25.5" customHeight="1" x14ac:dyDescent="0.25">
      <c r="A12" s="137" t="s">
        <v>70</v>
      </c>
      <c r="B12" s="138">
        <f>'CENSO 2020'!C14</f>
        <v>77436</v>
      </c>
      <c r="C12" s="139">
        <f t="shared" si="0"/>
        <v>6.2678071902196431</v>
      </c>
      <c r="D12" s="140">
        <f>Datos!$L$27*FFM!C12/100</f>
        <v>-12325.956229926438</v>
      </c>
      <c r="E12" s="141">
        <f>'Predial y Agua'!G13</f>
        <v>60010155</v>
      </c>
      <c r="F12" s="142">
        <f t="shared" si="2"/>
        <v>7.5425906470312665</v>
      </c>
      <c r="G12" s="141">
        <f>Datos!$L$28*FFM!F12/100</f>
        <v>-14832.881636919337</v>
      </c>
      <c r="H12" s="143">
        <f t="shared" si="3"/>
        <v>-27158.837866845774</v>
      </c>
      <c r="I12" s="144" t="e">
        <f>D12+G12+#REF!</f>
        <v>#REF!</v>
      </c>
      <c r="J12" s="145">
        <f t="shared" si="1"/>
        <v>13.81039783725091</v>
      </c>
      <c r="K12" s="145">
        <f t="shared" si="4"/>
        <v>6.9051989186254552</v>
      </c>
      <c r="L12" s="145">
        <v>5.371861</v>
      </c>
      <c r="M12" s="146">
        <f t="shared" si="5"/>
        <v>1.5333379186254552</v>
      </c>
      <c r="N12" s="145" t="e">
        <f>#REF!</f>
        <v>#REF!</v>
      </c>
      <c r="O12" s="58"/>
      <c r="P12" s="145" t="e">
        <f t="shared" si="6"/>
        <v>#REF!</v>
      </c>
      <c r="Q12" s="136">
        <v>7.3199050000000003</v>
      </c>
      <c r="R12" s="147">
        <f t="shared" si="7"/>
        <v>-0.41470608137454512</v>
      </c>
      <c r="S12" s="136"/>
      <c r="T12" s="136"/>
      <c r="U12" s="58"/>
      <c r="V12" s="58"/>
      <c r="W12" s="58"/>
      <c r="X12" s="58"/>
      <c r="Y12" s="145"/>
      <c r="Z12" s="145"/>
    </row>
    <row r="13" spans="1:26" s="87" customFormat="1" ht="25.5" customHeight="1" x14ac:dyDescent="0.25">
      <c r="A13" s="137" t="s">
        <v>71</v>
      </c>
      <c r="B13" s="138">
        <f>'CENSO 2020'!C15</f>
        <v>47550</v>
      </c>
      <c r="C13" s="139">
        <f t="shared" si="0"/>
        <v>3.8487813406547868</v>
      </c>
      <c r="D13" s="140">
        <f>Datos!$L$27*FFM!C13/100</f>
        <v>-7568.8209454646703</v>
      </c>
      <c r="E13" s="141">
        <f>'Predial y Agua'!G14</f>
        <v>94277</v>
      </c>
      <c r="F13" s="142">
        <f t="shared" si="2"/>
        <v>1.1849541438947569E-2</v>
      </c>
      <c r="G13" s="141">
        <f>Datos!$L$28*FFM!F13/100</f>
        <v>-23.302715716762339</v>
      </c>
      <c r="H13" s="143">
        <f t="shared" si="3"/>
        <v>-7592.1236611814329</v>
      </c>
      <c r="I13" s="148" t="e">
        <f>D13+G13+#REF!</f>
        <v>#REF!</v>
      </c>
      <c r="J13" s="86">
        <f t="shared" si="1"/>
        <v>3.8606308820937345</v>
      </c>
      <c r="K13" s="86">
        <f t="shared" si="4"/>
        <v>1.9303154410468673</v>
      </c>
      <c r="L13" s="86">
        <v>1.826878</v>
      </c>
      <c r="M13" s="149">
        <f t="shared" si="5"/>
        <v>0.10343744104686725</v>
      </c>
      <c r="N13" s="86" t="e">
        <f>#REF!</f>
        <v>#REF!</v>
      </c>
      <c r="O13" s="87">
        <v>0.35585699999999998</v>
      </c>
      <c r="P13" s="86" t="e">
        <f t="shared" si="6"/>
        <v>#REF!</v>
      </c>
      <c r="Q13" s="150">
        <v>2.5551330000000001</v>
      </c>
      <c r="R13" s="151">
        <f t="shared" si="7"/>
        <v>-0.62481755895313285</v>
      </c>
      <c r="S13" s="150">
        <v>16.147120999999999</v>
      </c>
      <c r="T13" s="150">
        <f>O13-S13</f>
        <v>-15.791263999999998</v>
      </c>
      <c r="Y13" s="145"/>
      <c r="Z13" s="145"/>
    </row>
    <row r="14" spans="1:26" s="87" customFormat="1" ht="25.5" customHeight="1" x14ac:dyDescent="0.25">
      <c r="A14" s="137" t="s">
        <v>72</v>
      </c>
      <c r="B14" s="138">
        <f>'CENSO 2020'!C16</f>
        <v>12230</v>
      </c>
      <c r="C14" s="139">
        <f t="shared" si="0"/>
        <v>0.98991789266473262</v>
      </c>
      <c r="D14" s="140">
        <f>Datos!$L$27*FFM!C14/100</f>
        <v>-1946.7230318198301</v>
      </c>
      <c r="E14" s="141">
        <f>'Predial y Agua'!G15</f>
        <v>99583</v>
      </c>
      <c r="F14" s="142">
        <f t="shared" si="2"/>
        <v>1.2516444998405931E-2</v>
      </c>
      <c r="G14" s="141">
        <f>Datos!$L$28*FFM!F14/100</f>
        <v>-24.614214911615182</v>
      </c>
      <c r="H14" s="143">
        <f t="shared" si="3"/>
        <v>-1971.3372467314452</v>
      </c>
      <c r="I14" s="148" t="e">
        <f>D14+G14+#REF!</f>
        <v>#REF!</v>
      </c>
      <c r="J14" s="86">
        <f t="shared" si="1"/>
        <v>1.0024343376631386</v>
      </c>
      <c r="K14" s="86">
        <f t="shared" si="4"/>
        <v>0.5012171688315693</v>
      </c>
      <c r="L14" s="86">
        <v>0.53989200000000004</v>
      </c>
      <c r="M14" s="149">
        <f t="shared" si="5"/>
        <v>-3.8674831168430734E-2</v>
      </c>
      <c r="N14" s="86" t="e">
        <f>#REF!</f>
        <v>#REF!</v>
      </c>
      <c r="O14" s="87">
        <v>0.19699800000000001</v>
      </c>
      <c r="P14" s="86" t="e">
        <f t="shared" si="6"/>
        <v>#REF!</v>
      </c>
      <c r="Q14" s="150">
        <v>0.75530600000000003</v>
      </c>
      <c r="R14" s="151">
        <f t="shared" si="7"/>
        <v>-0.25408883116843073</v>
      </c>
      <c r="S14" s="150">
        <v>4.7731430000000001</v>
      </c>
      <c r="T14" s="150">
        <f t="shared" ref="T14:T26" si="8">O14-S14</f>
        <v>-4.5761450000000004</v>
      </c>
      <c r="Y14" s="145"/>
      <c r="Z14" s="145"/>
    </row>
    <row r="15" spans="1:26" s="87" customFormat="1" ht="25.5" customHeight="1" x14ac:dyDescent="0.25">
      <c r="A15" s="137" t="s">
        <v>73</v>
      </c>
      <c r="B15" s="138">
        <f>'CENSO 2020'!C17</f>
        <v>29299</v>
      </c>
      <c r="C15" s="139">
        <f t="shared" si="0"/>
        <v>2.3715130283878989</v>
      </c>
      <c r="D15" s="140">
        <f>Datos!$L$27*FFM!C15/100</f>
        <v>-4663.6989459762226</v>
      </c>
      <c r="E15" s="141">
        <f>'Predial y Agua'!G16</f>
        <v>11883725</v>
      </c>
      <c r="F15" s="142">
        <f t="shared" si="2"/>
        <v>1.4936484172869013</v>
      </c>
      <c r="G15" s="141">
        <f>Datos!$L$28*FFM!F15/100</f>
        <v>-2937.3342950155557</v>
      </c>
      <c r="H15" s="143">
        <f t="shared" si="3"/>
        <v>-7601.0332409917783</v>
      </c>
      <c r="I15" s="144" t="e">
        <f>D15+G15+#REF!</f>
        <v>#REF!</v>
      </c>
      <c r="J15" s="86">
        <f t="shared" si="1"/>
        <v>3.8651614456748002</v>
      </c>
      <c r="K15" s="86">
        <f t="shared" si="4"/>
        <v>1.9325807228374001</v>
      </c>
      <c r="L15" s="86">
        <v>2.598125</v>
      </c>
      <c r="M15" s="149">
        <f t="shared" si="5"/>
        <v>-0.6655442771625999</v>
      </c>
      <c r="N15" s="86" t="e">
        <f>#REF!</f>
        <v>#REF!</v>
      </c>
      <c r="P15" s="86" t="e">
        <f t="shared" si="6"/>
        <v>#REF!</v>
      </c>
      <c r="Q15" s="150">
        <v>3.512527</v>
      </c>
      <c r="R15" s="151">
        <f t="shared" si="7"/>
        <v>-1.5799462771625998</v>
      </c>
      <c r="S15" s="150"/>
      <c r="T15" s="150">
        <f t="shared" si="8"/>
        <v>0</v>
      </c>
      <c r="Y15" s="86"/>
      <c r="Z15" s="145"/>
    </row>
    <row r="16" spans="1:26" s="87" customFormat="1" ht="25.5" customHeight="1" x14ac:dyDescent="0.25">
      <c r="A16" s="137" t="s">
        <v>74</v>
      </c>
      <c r="B16" s="138">
        <f>'CENSO 2020'!C18</f>
        <v>19321</v>
      </c>
      <c r="C16" s="139">
        <f t="shared" si="0"/>
        <v>1.563876010153336</v>
      </c>
      <c r="D16" s="140">
        <f>Datos!$L$27*FFM!C16/100</f>
        <v>-3075.440367767043</v>
      </c>
      <c r="E16" s="141">
        <f>'Predial y Agua'!G17</f>
        <v>4290832</v>
      </c>
      <c r="F16" s="142">
        <f t="shared" si="2"/>
        <v>0.53930854388198901</v>
      </c>
      <c r="G16" s="141">
        <f>Datos!$L$28*FFM!F16/100</f>
        <v>-1060.5772169711254</v>
      </c>
      <c r="H16" s="143">
        <f t="shared" si="3"/>
        <v>-4136.0175847381688</v>
      </c>
      <c r="I16" s="144" t="e">
        <f>D16+G16+#REF!</f>
        <v>#REF!</v>
      </c>
      <c r="J16" s="86">
        <f t="shared" si="1"/>
        <v>2.1031845540353249</v>
      </c>
      <c r="K16" s="86">
        <f t="shared" si="4"/>
        <v>1.0515922770176624</v>
      </c>
      <c r="L16" s="86">
        <v>1.1819949999999999</v>
      </c>
      <c r="M16" s="149">
        <f t="shared" si="5"/>
        <v>-0.13040272298233746</v>
      </c>
      <c r="N16" s="86" t="e">
        <f>#REF!</f>
        <v>#REF!</v>
      </c>
      <c r="P16" s="86" t="e">
        <f t="shared" si="6"/>
        <v>#REF!</v>
      </c>
      <c r="Q16" s="150">
        <v>1.6183019999999999</v>
      </c>
      <c r="R16" s="151">
        <f t="shared" si="7"/>
        <v>-0.56670972298233746</v>
      </c>
      <c r="S16" s="150"/>
      <c r="T16" s="150">
        <f t="shared" si="8"/>
        <v>0</v>
      </c>
      <c r="Y16" s="145"/>
      <c r="Z16" s="145"/>
    </row>
    <row r="17" spans="1:26" s="87" customFormat="1" ht="25.5" customHeight="1" x14ac:dyDescent="0.25">
      <c r="A17" s="137" t="s">
        <v>75</v>
      </c>
      <c r="B17" s="138">
        <f>'CENSO 2020'!C19</f>
        <v>13719</v>
      </c>
      <c r="C17" s="139">
        <f t="shared" si="0"/>
        <v>1.1104401937422297</v>
      </c>
      <c r="D17" s="140">
        <f>Datos!$L$27*FFM!C17/100</f>
        <v>-2183.7361630037817</v>
      </c>
      <c r="E17" s="141">
        <f>'Predial y Agua'!G18</f>
        <v>561068</v>
      </c>
      <c r="F17" s="142">
        <f t="shared" si="2"/>
        <v>7.0519835337011519E-2</v>
      </c>
      <c r="G17" s="141">
        <f>Datos!$L$28*FFM!F17/100</f>
        <v>-138.680782182</v>
      </c>
      <c r="H17" s="143">
        <f t="shared" si="3"/>
        <v>-2322.4169451857815</v>
      </c>
      <c r="I17" s="144" t="e">
        <f>D17+G17+#REF!</f>
        <v>#REF!</v>
      </c>
      <c r="J17" s="86">
        <f t="shared" si="1"/>
        <v>1.1809600290792412</v>
      </c>
      <c r="K17" s="86">
        <f t="shared" si="4"/>
        <v>0.59048001453962062</v>
      </c>
      <c r="L17" s="86">
        <v>0.66424499999999997</v>
      </c>
      <c r="M17" s="149">
        <v>9.9999999999999995E-7</v>
      </c>
      <c r="N17" s="86" t="e">
        <f>#REF!</f>
        <v>#REF!</v>
      </c>
      <c r="P17" s="86" t="e">
        <f t="shared" si="6"/>
        <v>#REF!</v>
      </c>
      <c r="Q17" s="150">
        <v>0.92457</v>
      </c>
      <c r="R17" s="151">
        <f t="shared" si="7"/>
        <v>-0.33408998546037938</v>
      </c>
      <c r="S17" s="150"/>
      <c r="T17" s="150">
        <f t="shared" si="8"/>
        <v>0</v>
      </c>
      <c r="Y17" s="145"/>
      <c r="Z17" s="145"/>
    </row>
    <row r="18" spans="1:26" s="87" customFormat="1" ht="25.5" customHeight="1" x14ac:dyDescent="0.25">
      <c r="A18" s="137" t="s">
        <v>76</v>
      </c>
      <c r="B18" s="138">
        <f>'CENSO 2020'!C20</f>
        <v>33567</v>
      </c>
      <c r="C18" s="139">
        <f t="shared" si="0"/>
        <v>2.7169725186489848</v>
      </c>
      <c r="D18" s="140">
        <f>Datos!$L$27*FFM!C18/100</f>
        <v>-5343.0623065491618</v>
      </c>
      <c r="E18" s="141">
        <f>'Predial y Agua'!G19</f>
        <v>2522032</v>
      </c>
      <c r="F18" s="142">
        <f t="shared" si="2"/>
        <v>0.31699059891969217</v>
      </c>
      <c r="G18" s="141">
        <f>Datos!$L$28*FFM!F18/100</f>
        <v>-623.37786230552058</v>
      </c>
      <c r="H18" s="143">
        <f t="shared" si="3"/>
        <v>-5966.4401688546823</v>
      </c>
      <c r="I18" s="148" t="e">
        <f>D18+G18+#REF!</f>
        <v>#REF!</v>
      </c>
      <c r="J18" s="86">
        <f t="shared" si="1"/>
        <v>3.033963117568677</v>
      </c>
      <c r="K18" s="86">
        <f t="shared" si="4"/>
        <v>1.5169815587843385</v>
      </c>
      <c r="L18" s="86">
        <v>1.606241</v>
      </c>
      <c r="M18" s="149">
        <f t="shared" si="5"/>
        <v>-8.9259441215661539E-2</v>
      </c>
      <c r="N18" s="86" t="e">
        <f>#REF!</f>
        <v>#REF!</v>
      </c>
      <c r="O18" s="87">
        <v>16.427489000000001</v>
      </c>
      <c r="P18" s="86" t="e">
        <f t="shared" si="6"/>
        <v>#REF!</v>
      </c>
      <c r="Q18" s="150">
        <v>2.2329530000000002</v>
      </c>
      <c r="R18" s="151">
        <f t="shared" si="7"/>
        <v>-0.7159714412156617</v>
      </c>
      <c r="S18" s="150">
        <v>14.111107000000001</v>
      </c>
      <c r="T18" s="150">
        <f t="shared" si="8"/>
        <v>2.3163820000000008</v>
      </c>
      <c r="Y18" s="145"/>
      <c r="Z18" s="145"/>
    </row>
    <row r="19" spans="1:26" s="87" customFormat="1" ht="25.5" customHeight="1" x14ac:dyDescent="0.25">
      <c r="A19" s="137" t="s">
        <v>77</v>
      </c>
      <c r="B19" s="138">
        <f>'CENSO 2020'!C21</f>
        <v>24096</v>
      </c>
      <c r="C19" s="139">
        <f t="shared" si="0"/>
        <v>1.9503729796933278</v>
      </c>
      <c r="D19" s="140">
        <f>Datos!$L$27*FFM!C19/100</f>
        <v>-3835.5059832159141</v>
      </c>
      <c r="E19" s="141">
        <f>'Predial y Agua'!G20</f>
        <v>3423553</v>
      </c>
      <c r="F19" s="142">
        <f t="shared" si="2"/>
        <v>0.43030148543052144</v>
      </c>
      <c r="G19" s="141">
        <f>Datos!$L$28*FFM!F19/100</f>
        <v>-846.20938617339198</v>
      </c>
      <c r="H19" s="143">
        <f t="shared" si="3"/>
        <v>-4681.715369389306</v>
      </c>
      <c r="I19" s="144" t="e">
        <f>D19+G19+#REF!</f>
        <v>#REF!</v>
      </c>
      <c r="J19" s="86">
        <f t="shared" si="1"/>
        <v>2.3806744651238492</v>
      </c>
      <c r="K19" s="86">
        <f t="shared" si="4"/>
        <v>1.1903372325619246</v>
      </c>
      <c r="L19" s="86">
        <v>1.225519</v>
      </c>
      <c r="M19" s="149">
        <f t="shared" si="5"/>
        <v>-3.518176743807544E-2</v>
      </c>
      <c r="N19" s="86" t="e">
        <f>#REF!</f>
        <v>#REF!</v>
      </c>
      <c r="P19" s="86" t="e">
        <f t="shared" si="6"/>
        <v>#REF!</v>
      </c>
      <c r="Q19" s="150">
        <v>1.699298</v>
      </c>
      <c r="R19" s="151">
        <f t="shared" si="7"/>
        <v>-0.50896076743807539</v>
      </c>
      <c r="S19" s="150"/>
      <c r="T19" s="150">
        <f t="shared" si="8"/>
        <v>0</v>
      </c>
      <c r="Y19" s="145"/>
      <c r="Z19" s="145"/>
    </row>
    <row r="20" spans="1:26" s="87" customFormat="1" ht="25.5" customHeight="1" x14ac:dyDescent="0.25">
      <c r="A20" s="137" t="s">
        <v>78</v>
      </c>
      <c r="B20" s="138">
        <f>'CENSO 2020'!C22</f>
        <v>41518</v>
      </c>
      <c r="C20" s="139">
        <f t="shared" si="0"/>
        <v>3.3605405615416495</v>
      </c>
      <c r="D20" s="140">
        <f>Datos!$L$27*FFM!C20/100</f>
        <v>-6608.6710412997309</v>
      </c>
      <c r="E20" s="141">
        <f>'Predial y Agua'!G21</f>
        <v>5209406</v>
      </c>
      <c r="F20" s="142">
        <f t="shared" si="2"/>
        <v>0.65476279759964895</v>
      </c>
      <c r="G20" s="141">
        <f>Datos!$L$28*FFM!F20/100</f>
        <v>-1287.6237796195896</v>
      </c>
      <c r="H20" s="143">
        <f t="shared" si="3"/>
        <v>-7896.29482091932</v>
      </c>
      <c r="I20" s="144" t="e">
        <f>D20+G20+#REF!</f>
        <v>#REF!</v>
      </c>
      <c r="J20" s="86">
        <f t="shared" si="1"/>
        <v>4.0153033591412983</v>
      </c>
      <c r="K20" s="86">
        <f t="shared" si="4"/>
        <v>2.0076516795706492</v>
      </c>
      <c r="L20" s="86">
        <v>2.2379220000000002</v>
      </c>
      <c r="M20" s="149">
        <f t="shared" si="5"/>
        <v>-0.23027032042935103</v>
      </c>
      <c r="N20" s="86" t="e">
        <f>#REF!</f>
        <v>#REF!</v>
      </c>
      <c r="P20" s="86" t="e">
        <f t="shared" si="6"/>
        <v>#REF!</v>
      </c>
      <c r="Q20" s="150">
        <v>3.0983839999999998</v>
      </c>
      <c r="R20" s="151">
        <f t="shared" si="7"/>
        <v>-1.0907323204293506</v>
      </c>
      <c r="S20" s="150"/>
      <c r="T20" s="150">
        <f t="shared" si="8"/>
        <v>0</v>
      </c>
      <c r="Y20" s="145"/>
      <c r="Z20" s="145"/>
    </row>
    <row r="21" spans="1:26" s="87" customFormat="1" ht="25.5" customHeight="1" x14ac:dyDescent="0.25">
      <c r="A21" s="137" t="s">
        <v>79</v>
      </c>
      <c r="B21" s="138">
        <f>'CENSO 2020'!C23</f>
        <v>7683</v>
      </c>
      <c r="C21" s="139">
        <f t="shared" si="0"/>
        <v>0.62187564753418989</v>
      </c>
      <c r="D21" s="140">
        <f>Datos!$L$27*FFM!C21/100</f>
        <v>-1222.9495546583612</v>
      </c>
      <c r="E21" s="141">
        <f>'Predial y Agua'!G22</f>
        <v>2088284</v>
      </c>
      <c r="F21" s="142">
        <f t="shared" si="2"/>
        <v>0.26247343248396943</v>
      </c>
      <c r="G21" s="141">
        <f>Datos!$L$28*FFM!F21/100</f>
        <v>-516.16712865135003</v>
      </c>
      <c r="H21" s="143">
        <f t="shared" si="3"/>
        <v>-1739.1166833097113</v>
      </c>
      <c r="I21" s="148" t="e">
        <f>D21+G21+#REF!</f>
        <v>#REF!</v>
      </c>
      <c r="J21" s="86">
        <f t="shared" si="1"/>
        <v>0.88434908001815926</v>
      </c>
      <c r="K21" s="86">
        <f t="shared" si="4"/>
        <v>0.44217454000907963</v>
      </c>
      <c r="L21" s="86">
        <v>0.43209399999999998</v>
      </c>
      <c r="M21" s="149">
        <f t="shared" si="5"/>
        <v>1.0080540009079653E-2</v>
      </c>
      <c r="N21" s="86" t="e">
        <f>#REF!</f>
        <v>#REF!</v>
      </c>
      <c r="O21" s="87">
        <v>11.183956</v>
      </c>
      <c r="P21" s="86" t="e">
        <f t="shared" si="6"/>
        <v>#REF!</v>
      </c>
      <c r="Q21" s="150">
        <v>0.59435300000000002</v>
      </c>
      <c r="R21" s="151">
        <f t="shared" si="7"/>
        <v>-0.15217845999092039</v>
      </c>
      <c r="S21" s="150">
        <v>3.7560030000000002</v>
      </c>
      <c r="T21" s="150">
        <f t="shared" si="8"/>
        <v>7.4279530000000005</v>
      </c>
      <c r="Y21" s="145"/>
      <c r="Z21" s="145"/>
    </row>
    <row r="22" spans="1:26" s="87" customFormat="1" ht="25.5" customHeight="1" x14ac:dyDescent="0.25">
      <c r="A22" s="137" t="s">
        <v>80</v>
      </c>
      <c r="B22" s="138">
        <f>'CENSO 2020'!C24</f>
        <v>24911</v>
      </c>
      <c r="C22" s="139">
        <f t="shared" si="0"/>
        <v>2.0163405252797348</v>
      </c>
      <c r="D22" s="140">
        <f>Datos!$L$27*FFM!C22/100</f>
        <v>-3965.2344599888625</v>
      </c>
      <c r="E22" s="141">
        <f>'Predial y Agua'!G23</f>
        <v>2820618</v>
      </c>
      <c r="F22" s="142">
        <f t="shared" si="2"/>
        <v>0.35451944667778373</v>
      </c>
      <c r="G22" s="141">
        <f>Datos!$L$28*FFM!F22/100</f>
        <v>-697.18021786419558</v>
      </c>
      <c r="H22" s="143">
        <f t="shared" si="3"/>
        <v>-4662.4146778530576</v>
      </c>
      <c r="I22" s="144" t="e">
        <f>D22+G22+#REF!</f>
        <v>#REF!</v>
      </c>
      <c r="J22" s="86">
        <f t="shared" si="1"/>
        <v>2.3708599719575187</v>
      </c>
      <c r="K22" s="86">
        <f t="shared" si="4"/>
        <v>1.1854299859787594</v>
      </c>
      <c r="L22" s="86">
        <v>1.3994949999999999</v>
      </c>
      <c r="M22" s="149">
        <f t="shared" si="5"/>
        <v>-0.21406501402124056</v>
      </c>
      <c r="N22" s="86" t="e">
        <f>#REF!</f>
        <v>#REF!</v>
      </c>
      <c r="P22" s="86" t="e">
        <f t="shared" si="6"/>
        <v>#REF!</v>
      </c>
      <c r="Q22" s="150">
        <v>1.921861</v>
      </c>
      <c r="R22" s="151">
        <f t="shared" si="7"/>
        <v>-0.73643101402124067</v>
      </c>
      <c r="S22" s="150"/>
      <c r="T22" s="150">
        <f t="shared" si="8"/>
        <v>0</v>
      </c>
      <c r="Y22" s="145"/>
      <c r="Z22" s="145"/>
    </row>
    <row r="23" spans="1:26" s="87" customFormat="1" ht="25.5" customHeight="1" x14ac:dyDescent="0.25">
      <c r="A23" s="137" t="s">
        <v>81</v>
      </c>
      <c r="B23" s="138">
        <f>'CENSO 2020'!C25</f>
        <v>93981</v>
      </c>
      <c r="C23" s="139">
        <f t="shared" si="0"/>
        <v>7.6069888365105687</v>
      </c>
      <c r="D23" s="140">
        <f>Datos!$L$27*FFM!C23/100</f>
        <v>-14959.523896439858</v>
      </c>
      <c r="E23" s="141">
        <f>'Predial y Agua'!G24</f>
        <v>17843967</v>
      </c>
      <c r="F23" s="142">
        <f t="shared" si="2"/>
        <v>2.2427827190270473</v>
      </c>
      <c r="G23" s="141">
        <f>Datos!$L$28*FFM!F23/100</f>
        <v>-4410.5443561026395</v>
      </c>
      <c r="H23" s="143">
        <f t="shared" si="3"/>
        <v>-19370.068252542496</v>
      </c>
      <c r="I23" s="148" t="e">
        <f>D23+G23+#REF!</f>
        <v>#REF!</v>
      </c>
      <c r="J23" s="86">
        <f t="shared" si="1"/>
        <v>9.8497715555376164</v>
      </c>
      <c r="K23" s="86">
        <f t="shared" si="4"/>
        <v>4.9248857777688082</v>
      </c>
      <c r="L23" s="86">
        <v>5.5728949999999999</v>
      </c>
      <c r="M23" s="149">
        <f t="shared" si="5"/>
        <v>-0.64800922223119173</v>
      </c>
      <c r="N23" s="86" t="e">
        <f>#REF!</f>
        <v>#REF!</v>
      </c>
      <c r="O23" s="87">
        <v>59.916367999999999</v>
      </c>
      <c r="P23" s="86" t="e">
        <f t="shared" si="6"/>
        <v>#REF!</v>
      </c>
      <c r="Q23" s="150">
        <v>7.6699279999999996</v>
      </c>
      <c r="R23" s="151">
        <f t="shared" si="7"/>
        <v>-2.7450422222311914</v>
      </c>
      <c r="S23" s="150">
        <v>48.469971999999999</v>
      </c>
      <c r="T23" s="150">
        <f t="shared" si="8"/>
        <v>11.446396</v>
      </c>
      <c r="Y23" s="145"/>
      <c r="Z23" s="145"/>
    </row>
    <row r="24" spans="1:26" s="87" customFormat="1" ht="25.5" customHeight="1" x14ac:dyDescent="0.25">
      <c r="A24" s="137" t="s">
        <v>82</v>
      </c>
      <c r="B24" s="138">
        <f>'CENSO 2020'!C26</f>
        <v>37135</v>
      </c>
      <c r="C24" s="139">
        <f t="shared" si="0"/>
        <v>3.0057727673021133</v>
      </c>
      <c r="D24" s="140">
        <f>Datos!$L$27*FFM!C24/100</f>
        <v>-5911.002435537971</v>
      </c>
      <c r="E24" s="141">
        <f>'Predial y Agua'!G25</f>
        <v>4883574</v>
      </c>
      <c r="F24" s="142">
        <f t="shared" si="2"/>
        <v>0.61380943902719587</v>
      </c>
      <c r="G24" s="141">
        <f>Datos!$L$28*FFM!F24/100</f>
        <v>-1207.0869523189319</v>
      </c>
      <c r="H24" s="143">
        <f t="shared" si="3"/>
        <v>-7118.0893878569032</v>
      </c>
      <c r="I24" s="144" t="e">
        <f>D24+G24+#REF!</f>
        <v>#REF!</v>
      </c>
      <c r="J24" s="86">
        <f t="shared" si="1"/>
        <v>3.619582206329309</v>
      </c>
      <c r="K24" s="86">
        <f t="shared" si="4"/>
        <v>1.8097911031646545</v>
      </c>
      <c r="L24" s="86">
        <v>2.767077</v>
      </c>
      <c r="M24" s="149">
        <f t="shared" si="5"/>
        <v>-0.95728589683534548</v>
      </c>
      <c r="N24" s="86" t="e">
        <f>#REF!</f>
        <v>#REF!</v>
      </c>
      <c r="P24" s="86" t="e">
        <f t="shared" si="6"/>
        <v>#REF!</v>
      </c>
      <c r="Q24" s="150">
        <v>3.7737189999999998</v>
      </c>
      <c r="R24" s="151">
        <f t="shared" si="7"/>
        <v>-1.9639278968353453</v>
      </c>
      <c r="S24" s="150"/>
      <c r="T24" s="150">
        <f t="shared" si="8"/>
        <v>0</v>
      </c>
      <c r="Y24" s="145"/>
      <c r="Z24" s="145"/>
    </row>
    <row r="25" spans="1:26" s="87" customFormat="1" ht="25.5" customHeight="1" x14ac:dyDescent="0.25">
      <c r="A25" s="137" t="s">
        <v>83</v>
      </c>
      <c r="B25" s="138">
        <f>'CENSO 2020'!C27</f>
        <v>425924</v>
      </c>
      <c r="C25" s="139">
        <f t="shared" si="0"/>
        <v>34.475044032324909</v>
      </c>
      <c r="D25" s="140">
        <f>Datos!$L$27*FFM!C25/100</f>
        <v>-67796.897841768558</v>
      </c>
      <c r="E25" s="141">
        <f>'Predial y Agua'!G26</f>
        <v>288565311</v>
      </c>
      <c r="F25" s="142">
        <f t="shared" si="2"/>
        <v>36.269361673974487</v>
      </c>
      <c r="G25" s="141">
        <f>Datos!$L$28*FFM!F25/100</f>
        <v>-71325.513199954526</v>
      </c>
      <c r="H25" s="143">
        <f t="shared" si="3"/>
        <v>-139122.4110417231</v>
      </c>
      <c r="I25" s="144" t="e">
        <f>D25+G25+#REF!</f>
        <v>#REF!</v>
      </c>
      <c r="J25" s="86">
        <f t="shared" si="1"/>
        <v>70.744405706299403</v>
      </c>
      <c r="K25" s="86">
        <f t="shared" si="4"/>
        <v>35.372202853149702</v>
      </c>
      <c r="L25" s="86">
        <v>35.053296000000003</v>
      </c>
      <c r="M25" s="149">
        <f t="shared" si="5"/>
        <v>0.31890685314969858</v>
      </c>
      <c r="N25" s="86" t="e">
        <f>#REF!</f>
        <v>#REF!</v>
      </c>
      <c r="P25" s="86" t="e">
        <f t="shared" si="6"/>
        <v>#REF!</v>
      </c>
      <c r="Q25" s="150">
        <v>47.455587999999999</v>
      </c>
      <c r="R25" s="151">
        <f t="shared" si="7"/>
        <v>-12.083385146850297</v>
      </c>
      <c r="S25" s="150"/>
      <c r="T25" s="150">
        <f t="shared" si="8"/>
        <v>0</v>
      </c>
      <c r="Y25" s="145"/>
      <c r="Z25" s="145"/>
    </row>
    <row r="26" spans="1:26" s="87" customFormat="1" ht="25.5" customHeight="1" x14ac:dyDescent="0.25">
      <c r="A26" s="137" t="s">
        <v>84</v>
      </c>
      <c r="B26" s="138">
        <f>'CENSO 2020'!C28</f>
        <v>30064</v>
      </c>
      <c r="C26" s="139">
        <f t="shared" si="0"/>
        <v>2.4334334852880231</v>
      </c>
      <c r="D26" s="140">
        <f>Datos!$L$27*FFM!C26/100</f>
        <v>-4785.4686204931613</v>
      </c>
      <c r="E26" s="141">
        <f>'Predial y Agua'!G27</f>
        <v>3116609</v>
      </c>
      <c r="F26" s="142">
        <f t="shared" si="2"/>
        <v>0.39172213259328303</v>
      </c>
      <c r="G26" s="141">
        <f>Datos!$L$28*FFM!F26/100</f>
        <v>-770.34115985132075</v>
      </c>
      <c r="H26" s="143">
        <f t="shared" si="3"/>
        <v>-5555.8097803444816</v>
      </c>
      <c r="I26" s="148" t="e">
        <f>D26+G26+#REF!</f>
        <v>#REF!</v>
      </c>
      <c r="J26" s="86">
        <f t="shared" si="1"/>
        <v>2.8251556178813062</v>
      </c>
      <c r="K26" s="86">
        <f t="shared" si="4"/>
        <v>1.4125778089406531</v>
      </c>
      <c r="L26" s="86">
        <v>1.450617</v>
      </c>
      <c r="M26" s="149">
        <f t="shared" si="5"/>
        <v>-3.8039191059346944E-2</v>
      </c>
      <c r="N26" s="86" t="e">
        <f>#REF!</f>
        <v>#REF!</v>
      </c>
      <c r="O26" s="87">
        <v>11.919331</v>
      </c>
      <c r="P26" s="86" t="e">
        <f t="shared" si="6"/>
        <v>#REF!</v>
      </c>
      <c r="Q26" s="150">
        <v>2.0164080000000002</v>
      </c>
      <c r="R26" s="151">
        <f t="shared" si="7"/>
        <v>-0.6038301910593471</v>
      </c>
      <c r="S26" s="150">
        <v>12.742653000000001</v>
      </c>
      <c r="T26" s="150">
        <f t="shared" si="8"/>
        <v>-0.823322000000001</v>
      </c>
      <c r="Y26" s="145"/>
      <c r="Z26" s="145"/>
    </row>
    <row r="27" spans="1:26" s="87" customFormat="1" ht="25.5" customHeight="1" thickBot="1" x14ac:dyDescent="0.3">
      <c r="A27" s="152" t="s">
        <v>85</v>
      </c>
      <c r="B27" s="153">
        <f>'CENSO 2020'!C29</f>
        <v>65229</v>
      </c>
      <c r="C27" s="139">
        <f t="shared" si="0"/>
        <v>5.2797509583506006</v>
      </c>
      <c r="D27" s="140">
        <f>Datos!$L$27*FFM!C27/100</f>
        <v>-10382.894247144373</v>
      </c>
      <c r="E27" s="141">
        <f>'Predial y Agua'!G28</f>
        <v>45690433</v>
      </c>
      <c r="F27" s="142">
        <f t="shared" si="2"/>
        <v>5.7427652470587471</v>
      </c>
      <c r="G27" s="141">
        <f>Datos!$L$28*FFM!F27/100</f>
        <v>-11293.434996603379</v>
      </c>
      <c r="H27" s="143">
        <f t="shared" si="3"/>
        <v>-21676.32924374775</v>
      </c>
      <c r="I27" s="144" t="e">
        <f>D27+G27+#REF!</f>
        <v>#REF!</v>
      </c>
      <c r="J27" s="86">
        <f t="shared" si="1"/>
        <v>11.022516205409348</v>
      </c>
      <c r="K27" s="86">
        <f t="shared" si="4"/>
        <v>5.5112581027046739</v>
      </c>
      <c r="L27" s="86">
        <v>5.1532229999999997</v>
      </c>
      <c r="M27" s="149">
        <f t="shared" si="5"/>
        <v>0.3580351027046742</v>
      </c>
      <c r="N27" s="86" t="e">
        <f>#REF!</f>
        <v>#REF!</v>
      </c>
      <c r="P27" s="86" t="e">
        <f t="shared" si="6"/>
        <v>#REF!</v>
      </c>
      <c r="Q27" s="150">
        <v>6.9632639999999997</v>
      </c>
      <c r="R27" s="151">
        <f t="shared" si="7"/>
        <v>-1.4520058972953258</v>
      </c>
      <c r="S27" s="150"/>
      <c r="T27" s="150"/>
      <c r="Y27" s="145"/>
      <c r="Z27" s="145"/>
    </row>
    <row r="28" spans="1:26" ht="16.5" thickBot="1" x14ac:dyDescent="0.3">
      <c r="A28" s="154" t="s">
        <v>86</v>
      </c>
      <c r="B28" s="155">
        <f>SUM(B8:B27)</f>
        <v>1235456</v>
      </c>
      <c r="C28" s="156">
        <f t="shared" si="0"/>
        <v>100</v>
      </c>
      <c r="D28" s="158">
        <f>SUM(D8:D27)</f>
        <v>-196655.00000000003</v>
      </c>
      <c r="E28" s="157">
        <f>SUM(E8:E27)</f>
        <v>795617286</v>
      </c>
      <c r="F28" s="314">
        <f>E28/E$28*100</f>
        <v>100</v>
      </c>
      <c r="G28" s="157">
        <f>SUM(G8:G27)</f>
        <v>-196655</v>
      </c>
      <c r="H28" s="157">
        <f>SUM(H8:H27)</f>
        <v>-393310</v>
      </c>
      <c r="I28" s="158" t="e">
        <f>SUM(I8:I27)</f>
        <v>#REF!</v>
      </c>
      <c r="J28" s="145">
        <f>SUM(J8:J27)</f>
        <v>199.99999999999997</v>
      </c>
      <c r="K28" s="145">
        <f t="shared" si="4"/>
        <v>99.999999999999986</v>
      </c>
      <c r="L28" s="145">
        <f>SUM(L8:L27)</f>
        <v>100.000001</v>
      </c>
      <c r="M28" s="145">
        <f>SUM(M8:M27)</f>
        <v>7.3764985460380128E-2</v>
      </c>
      <c r="N28" s="145" t="e">
        <f>SUM(N8:N27)</f>
        <v>#REF!</v>
      </c>
      <c r="O28" s="145">
        <f t="shared" ref="O28:P28" si="9">SUM(O8:O27)</f>
        <v>99.999999000000003</v>
      </c>
      <c r="P28" s="145" t="e">
        <f t="shared" si="9"/>
        <v>#REF!</v>
      </c>
      <c r="Q28" s="147">
        <f>SUM(Q8:Q27)</f>
        <v>140.00000000000003</v>
      </c>
      <c r="R28" s="147">
        <f t="shared" ref="R28:T28" si="10">SUM(R8:R27)</f>
        <v>-40</v>
      </c>
      <c r="S28" s="147">
        <f t="shared" si="10"/>
        <v>99.999999000000003</v>
      </c>
      <c r="T28" s="147">
        <f t="shared" si="10"/>
        <v>1.7763568394002505E-15</v>
      </c>
      <c r="U28" s="58"/>
      <c r="V28" s="58"/>
      <c r="W28" s="58"/>
      <c r="X28" s="58"/>
      <c r="Y28" s="145"/>
      <c r="Z28" s="58"/>
    </row>
    <row r="29" spans="1:26" ht="15.75" x14ac:dyDescent="0.25">
      <c r="A29" s="108" t="s">
        <v>87</v>
      </c>
      <c r="B29" s="56"/>
      <c r="C29" s="56"/>
      <c r="D29" s="159"/>
      <c r="E29" s="160"/>
      <c r="F29" s="160"/>
      <c r="G29" s="159"/>
      <c r="H29" s="159"/>
      <c r="I29" s="160"/>
      <c r="J29" s="58"/>
      <c r="K29" s="58"/>
      <c r="L29" s="58"/>
      <c r="M29" s="58"/>
      <c r="N29" s="58"/>
      <c r="O29" s="58"/>
      <c r="P29" s="58"/>
      <c r="Q29" s="58"/>
      <c r="R29" s="58"/>
      <c r="S29" s="58"/>
      <c r="T29" s="58"/>
      <c r="U29" s="58"/>
      <c r="V29" s="58"/>
      <c r="W29" s="58"/>
      <c r="X29" s="58"/>
      <c r="Y29" s="58"/>
      <c r="Z29" s="58"/>
    </row>
    <row r="30" spans="1:26" ht="15.75" x14ac:dyDescent="0.25">
      <c r="A30" s="56"/>
      <c r="B30" s="58"/>
      <c r="C30" s="58"/>
      <c r="D30" s="161"/>
      <c r="E30" s="58"/>
      <c r="F30" s="58"/>
      <c r="G30" s="87"/>
      <c r="H30" s="87"/>
      <c r="I30" s="58"/>
      <c r="J30" s="58"/>
      <c r="K30" s="58"/>
      <c r="L30" s="58"/>
      <c r="M30" s="58"/>
      <c r="N30" s="58"/>
      <c r="O30" s="58"/>
      <c r="P30" s="58"/>
      <c r="Q30" s="58"/>
      <c r="R30" s="58"/>
      <c r="S30" s="58"/>
      <c r="T30" s="58"/>
      <c r="U30" s="58"/>
      <c r="V30" s="58"/>
      <c r="W30" s="58"/>
      <c r="X30" s="58"/>
      <c r="Y30" s="58"/>
      <c r="Z30" s="58"/>
    </row>
    <row r="31" spans="1:26" ht="15.75" x14ac:dyDescent="0.25">
      <c r="A31" s="115" t="s">
        <v>225</v>
      </c>
      <c r="B31" s="58"/>
      <c r="C31" s="58"/>
      <c r="D31" s="87"/>
      <c r="E31" s="58"/>
      <c r="F31" s="58"/>
      <c r="G31" s="87"/>
      <c r="H31" s="87"/>
      <c r="I31" s="58"/>
      <c r="J31" s="58"/>
      <c r="K31" s="58"/>
      <c r="L31" s="58"/>
      <c r="M31" s="58"/>
      <c r="N31" s="58"/>
      <c r="O31" s="58"/>
      <c r="P31" s="58"/>
      <c r="Q31" s="58"/>
      <c r="R31" s="58"/>
      <c r="S31" s="58"/>
      <c r="T31" s="58"/>
      <c r="U31" s="58"/>
      <c r="V31" s="58"/>
      <c r="W31" s="58"/>
      <c r="X31" s="58"/>
      <c r="Y31" s="58"/>
      <c r="Z31" s="58"/>
    </row>
    <row r="32" spans="1:26" ht="15.75" hidden="1" customHeight="1" x14ac:dyDescent="0.25">
      <c r="A32" s="364" t="s">
        <v>106</v>
      </c>
      <c r="B32" s="364"/>
      <c r="C32" s="364"/>
      <c r="D32" s="364"/>
      <c r="E32" s="364"/>
      <c r="F32" s="58"/>
      <c r="G32" s="87"/>
      <c r="H32" s="87"/>
      <c r="I32" s="58"/>
      <c r="J32" s="58"/>
      <c r="K32" s="58"/>
      <c r="L32" s="58"/>
      <c r="M32" s="58"/>
      <c r="N32" s="58"/>
      <c r="O32" s="58"/>
      <c r="P32" s="58"/>
      <c r="Q32" s="58"/>
      <c r="R32" s="58"/>
      <c r="S32" s="58"/>
      <c r="T32" s="58"/>
      <c r="U32" s="58"/>
      <c r="V32" s="58"/>
      <c r="W32" s="58"/>
      <c r="X32" s="58"/>
      <c r="Y32" s="58"/>
      <c r="Z32" s="58"/>
    </row>
    <row r="33" spans="1:6" ht="15" hidden="1" customHeight="1" x14ac:dyDescent="0.25">
      <c r="A33" s="56"/>
      <c r="B33" s="56"/>
      <c r="C33" s="56"/>
      <c r="D33" s="56"/>
      <c r="E33" s="56"/>
      <c r="F33" s="58"/>
    </row>
    <row r="34" spans="1:6" ht="15" hidden="1" customHeight="1" x14ac:dyDescent="0.25">
      <c r="A34" s="378" t="s">
        <v>88</v>
      </c>
      <c r="B34" s="162" t="s">
        <v>107</v>
      </c>
      <c r="C34" s="163" t="s">
        <v>108</v>
      </c>
      <c r="D34" s="163" t="s">
        <v>40</v>
      </c>
      <c r="E34" s="162" t="s">
        <v>109</v>
      </c>
      <c r="F34" s="162" t="s">
        <v>110</v>
      </c>
    </row>
    <row r="35" spans="1:6" ht="15" hidden="1" customHeight="1" x14ac:dyDescent="0.25">
      <c r="A35" s="379"/>
      <c r="B35" s="164" t="s">
        <v>111</v>
      </c>
      <c r="C35" s="165" t="s">
        <v>112</v>
      </c>
      <c r="D35" s="165" t="s">
        <v>113</v>
      </c>
      <c r="E35" s="164" t="s">
        <v>114</v>
      </c>
      <c r="F35" s="164" t="s">
        <v>115</v>
      </c>
    </row>
    <row r="36" spans="1:6" ht="15" hidden="1" customHeight="1" x14ac:dyDescent="0.25">
      <c r="A36" s="379"/>
      <c r="B36" s="166" t="s">
        <v>116</v>
      </c>
      <c r="C36" s="165" t="s">
        <v>117</v>
      </c>
      <c r="D36" s="165" t="s">
        <v>118</v>
      </c>
      <c r="E36" s="164">
        <v>2014</v>
      </c>
      <c r="F36" s="164" t="s">
        <v>119</v>
      </c>
    </row>
    <row r="37" spans="1:6" ht="15" hidden="1" customHeight="1" x14ac:dyDescent="0.25">
      <c r="A37" s="380"/>
      <c r="B37" s="167" t="s">
        <v>52</v>
      </c>
      <c r="C37" s="167" t="s">
        <v>53</v>
      </c>
      <c r="D37" s="167" t="s">
        <v>54</v>
      </c>
      <c r="E37" s="167" t="s">
        <v>120</v>
      </c>
      <c r="F37" s="167" t="s">
        <v>56</v>
      </c>
    </row>
    <row r="38" spans="1:6" ht="15" hidden="1" customHeight="1" x14ac:dyDescent="0.2">
      <c r="A38" s="168" t="s">
        <v>66</v>
      </c>
      <c r="B38" s="160" t="e">
        <f>#REF!*0.7</f>
        <v>#REF!</v>
      </c>
      <c r="C38" s="160">
        <f t="shared" ref="C38:C58" si="11">D8+G8</f>
        <v>-8728.8715901838004</v>
      </c>
      <c r="D38" s="160" t="e">
        <f>#REF!+C38</f>
        <v>#REF!</v>
      </c>
      <c r="E38" s="160" t="e">
        <f>B38+C38</f>
        <v>#REF!</v>
      </c>
      <c r="F38" s="169" t="e">
        <f>D38-E38</f>
        <v>#REF!</v>
      </c>
    </row>
    <row r="39" spans="1:6" ht="15" hidden="1" customHeight="1" x14ac:dyDescent="0.2">
      <c r="A39" s="170" t="s">
        <v>67</v>
      </c>
      <c r="B39" s="160" t="e">
        <f>#REF!*0.7</f>
        <v>#REF!</v>
      </c>
      <c r="C39" s="160">
        <f t="shared" si="11"/>
        <v>-3556.6802589188414</v>
      </c>
      <c r="D39" s="160" t="e">
        <f>#REF!+C39</f>
        <v>#REF!</v>
      </c>
      <c r="E39" s="160" t="e">
        <f t="shared" ref="E39:E57" si="12">B39+C39</f>
        <v>#REF!</v>
      </c>
      <c r="F39" s="169" t="e">
        <f t="shared" ref="F39:F57" si="13">D39-E39</f>
        <v>#REF!</v>
      </c>
    </row>
    <row r="40" spans="1:6" ht="15" hidden="1" customHeight="1" x14ac:dyDescent="0.2">
      <c r="A40" s="170" t="s">
        <v>68</v>
      </c>
      <c r="B40" s="160" t="e">
        <f>#REF!*0.7</f>
        <v>#REF!</v>
      </c>
      <c r="C40" s="160">
        <f t="shared" si="11"/>
        <v>-2590.1590211715938</v>
      </c>
      <c r="D40" s="160" t="e">
        <f>#REF!+C40</f>
        <v>#REF!</v>
      </c>
      <c r="E40" s="160" t="e">
        <f t="shared" si="12"/>
        <v>#REF!</v>
      </c>
      <c r="F40" s="169" t="e">
        <f t="shared" si="13"/>
        <v>#REF!</v>
      </c>
    </row>
    <row r="41" spans="1:6" ht="15" hidden="1" customHeight="1" x14ac:dyDescent="0.2">
      <c r="A41" s="170" t="s">
        <v>69</v>
      </c>
      <c r="B41" s="160" t="e">
        <f>#REF!*0.7</f>
        <v>#REF!</v>
      </c>
      <c r="C41" s="160">
        <f t="shared" si="11"/>
        <v>-109863.83315751058</v>
      </c>
      <c r="D41" s="160" t="e">
        <f>#REF!+C41</f>
        <v>#REF!</v>
      </c>
      <c r="E41" s="160" t="e">
        <f t="shared" si="12"/>
        <v>#REF!</v>
      </c>
      <c r="F41" s="169" t="e">
        <f t="shared" si="13"/>
        <v>#REF!</v>
      </c>
    </row>
    <row r="42" spans="1:6" ht="15" hidden="1" customHeight="1" x14ac:dyDescent="0.2">
      <c r="A42" s="170" t="s">
        <v>70</v>
      </c>
      <c r="B42" s="160" t="e">
        <f>#REF!*0.7</f>
        <v>#REF!</v>
      </c>
      <c r="C42" s="160">
        <f t="shared" si="11"/>
        <v>-27158.837866845774</v>
      </c>
      <c r="D42" s="160" t="e">
        <f>#REF!+C42</f>
        <v>#REF!</v>
      </c>
      <c r="E42" s="160" t="e">
        <f t="shared" si="12"/>
        <v>#REF!</v>
      </c>
      <c r="F42" s="169" t="e">
        <f t="shared" si="13"/>
        <v>#REF!</v>
      </c>
    </row>
    <row r="43" spans="1:6" ht="15" hidden="1" customHeight="1" x14ac:dyDescent="0.2">
      <c r="A43" s="170" t="s">
        <v>71</v>
      </c>
      <c r="B43" s="160" t="e">
        <f>#REF!*0.7</f>
        <v>#REF!</v>
      </c>
      <c r="C43" s="160">
        <f t="shared" si="11"/>
        <v>-7592.1236611814329</v>
      </c>
      <c r="D43" s="160" t="e">
        <f>#REF!+C43</f>
        <v>#REF!</v>
      </c>
      <c r="E43" s="160" t="e">
        <f t="shared" si="12"/>
        <v>#REF!</v>
      </c>
      <c r="F43" s="169" t="e">
        <f t="shared" si="13"/>
        <v>#REF!</v>
      </c>
    </row>
    <row r="44" spans="1:6" ht="15" hidden="1" customHeight="1" x14ac:dyDescent="0.2">
      <c r="A44" s="170" t="s">
        <v>72</v>
      </c>
      <c r="B44" s="160" t="e">
        <f>#REF!*0.7</f>
        <v>#REF!</v>
      </c>
      <c r="C44" s="160">
        <f t="shared" si="11"/>
        <v>-1971.3372467314452</v>
      </c>
      <c r="D44" s="160" t="e">
        <f>#REF!+C44</f>
        <v>#REF!</v>
      </c>
      <c r="E44" s="160" t="e">
        <f t="shared" si="12"/>
        <v>#REF!</v>
      </c>
      <c r="F44" s="169" t="e">
        <f t="shared" si="13"/>
        <v>#REF!</v>
      </c>
    </row>
    <row r="45" spans="1:6" ht="15" hidden="1" customHeight="1" x14ac:dyDescent="0.2">
      <c r="A45" s="170" t="s">
        <v>73</v>
      </c>
      <c r="B45" s="160" t="e">
        <f>#REF!*0.7</f>
        <v>#REF!</v>
      </c>
      <c r="C45" s="160">
        <f t="shared" si="11"/>
        <v>-7601.0332409917783</v>
      </c>
      <c r="D45" s="160" t="e">
        <f>#REF!+C45</f>
        <v>#REF!</v>
      </c>
      <c r="E45" s="160" t="e">
        <f t="shared" si="12"/>
        <v>#REF!</v>
      </c>
      <c r="F45" s="169" t="e">
        <f t="shared" si="13"/>
        <v>#REF!</v>
      </c>
    </row>
    <row r="46" spans="1:6" ht="15" hidden="1" customHeight="1" x14ac:dyDescent="0.2">
      <c r="A46" s="170" t="s">
        <v>74</v>
      </c>
      <c r="B46" s="160" t="e">
        <f>#REF!*0.7</f>
        <v>#REF!</v>
      </c>
      <c r="C46" s="160">
        <f t="shared" si="11"/>
        <v>-4136.0175847381688</v>
      </c>
      <c r="D46" s="160" t="e">
        <f>#REF!+C46</f>
        <v>#REF!</v>
      </c>
      <c r="E46" s="160" t="e">
        <f t="shared" si="12"/>
        <v>#REF!</v>
      </c>
      <c r="F46" s="169" t="e">
        <f t="shared" si="13"/>
        <v>#REF!</v>
      </c>
    </row>
    <row r="47" spans="1:6" ht="15" hidden="1" customHeight="1" x14ac:dyDescent="0.2">
      <c r="A47" s="170" t="s">
        <v>75</v>
      </c>
      <c r="B47" s="160" t="e">
        <f>#REF!*0.7</f>
        <v>#REF!</v>
      </c>
      <c r="C47" s="160">
        <f t="shared" si="11"/>
        <v>-2322.4169451857815</v>
      </c>
      <c r="D47" s="160" t="e">
        <f>#REF!+C47</f>
        <v>#REF!</v>
      </c>
      <c r="E47" s="160" t="e">
        <f t="shared" si="12"/>
        <v>#REF!</v>
      </c>
      <c r="F47" s="169" t="e">
        <f t="shared" si="13"/>
        <v>#REF!</v>
      </c>
    </row>
    <row r="48" spans="1:6" ht="15" hidden="1" customHeight="1" x14ac:dyDescent="0.2">
      <c r="A48" s="170" t="s">
        <v>76</v>
      </c>
      <c r="B48" s="160" t="e">
        <f>#REF!*0.7</f>
        <v>#REF!</v>
      </c>
      <c r="C48" s="160">
        <f t="shared" si="11"/>
        <v>-5966.4401688546823</v>
      </c>
      <c r="D48" s="160" t="e">
        <f>#REF!+C48</f>
        <v>#REF!</v>
      </c>
      <c r="E48" s="160" t="e">
        <f t="shared" si="12"/>
        <v>#REF!</v>
      </c>
      <c r="F48" s="169" t="e">
        <f t="shared" si="13"/>
        <v>#REF!</v>
      </c>
    </row>
    <row r="49" spans="1:6" ht="15" hidden="1" customHeight="1" x14ac:dyDescent="0.2">
      <c r="A49" s="170" t="s">
        <v>77</v>
      </c>
      <c r="B49" s="160" t="e">
        <f>#REF!*0.7</f>
        <v>#REF!</v>
      </c>
      <c r="C49" s="160">
        <f t="shared" si="11"/>
        <v>-4681.715369389306</v>
      </c>
      <c r="D49" s="160" t="e">
        <f>#REF!+C49</f>
        <v>#REF!</v>
      </c>
      <c r="E49" s="160" t="e">
        <f t="shared" si="12"/>
        <v>#REF!</v>
      </c>
      <c r="F49" s="169" t="e">
        <f t="shared" si="13"/>
        <v>#REF!</v>
      </c>
    </row>
    <row r="50" spans="1:6" ht="15" hidden="1" customHeight="1" x14ac:dyDescent="0.2">
      <c r="A50" s="170" t="s">
        <v>78</v>
      </c>
      <c r="B50" s="160" t="e">
        <f>#REF!*0.7</f>
        <v>#REF!</v>
      </c>
      <c r="C50" s="160">
        <f t="shared" si="11"/>
        <v>-7896.29482091932</v>
      </c>
      <c r="D50" s="160" t="e">
        <f>#REF!+C50</f>
        <v>#REF!</v>
      </c>
      <c r="E50" s="160" t="e">
        <f t="shared" si="12"/>
        <v>#REF!</v>
      </c>
      <c r="F50" s="169" t="e">
        <f t="shared" si="13"/>
        <v>#REF!</v>
      </c>
    </row>
    <row r="51" spans="1:6" ht="15" hidden="1" customHeight="1" x14ac:dyDescent="0.2">
      <c r="A51" s="170" t="s">
        <v>79</v>
      </c>
      <c r="B51" s="160" t="e">
        <f>#REF!*0.7</f>
        <v>#REF!</v>
      </c>
      <c r="C51" s="160">
        <f t="shared" si="11"/>
        <v>-1739.1166833097113</v>
      </c>
      <c r="D51" s="160" t="e">
        <f>#REF!+C51</f>
        <v>#REF!</v>
      </c>
      <c r="E51" s="160" t="e">
        <f t="shared" si="12"/>
        <v>#REF!</v>
      </c>
      <c r="F51" s="169" t="e">
        <f t="shared" si="13"/>
        <v>#REF!</v>
      </c>
    </row>
    <row r="52" spans="1:6" ht="15" hidden="1" customHeight="1" x14ac:dyDescent="0.2">
      <c r="A52" s="170" t="s">
        <v>80</v>
      </c>
      <c r="B52" s="160" t="e">
        <f>#REF!*0.7</f>
        <v>#REF!</v>
      </c>
      <c r="C52" s="160">
        <f t="shared" si="11"/>
        <v>-4662.4146778530576</v>
      </c>
      <c r="D52" s="160" t="e">
        <f>#REF!+C52</f>
        <v>#REF!</v>
      </c>
      <c r="E52" s="160" t="e">
        <f t="shared" si="12"/>
        <v>#REF!</v>
      </c>
      <c r="F52" s="169" t="e">
        <f t="shared" si="13"/>
        <v>#REF!</v>
      </c>
    </row>
    <row r="53" spans="1:6" ht="15" hidden="1" customHeight="1" x14ac:dyDescent="0.2">
      <c r="A53" s="170" t="s">
        <v>81</v>
      </c>
      <c r="B53" s="160" t="e">
        <f>#REF!*0.7</f>
        <v>#REF!</v>
      </c>
      <c r="C53" s="160">
        <f t="shared" si="11"/>
        <v>-19370.068252542496</v>
      </c>
      <c r="D53" s="160" t="e">
        <f>#REF!+C53</f>
        <v>#REF!</v>
      </c>
      <c r="E53" s="160" t="e">
        <f t="shared" si="12"/>
        <v>#REF!</v>
      </c>
      <c r="F53" s="169" t="e">
        <f t="shared" si="13"/>
        <v>#REF!</v>
      </c>
    </row>
    <row r="54" spans="1:6" ht="15" hidden="1" customHeight="1" x14ac:dyDescent="0.2">
      <c r="A54" s="170" t="s">
        <v>82</v>
      </c>
      <c r="B54" s="160" t="e">
        <f>#REF!*0.7</f>
        <v>#REF!</v>
      </c>
      <c r="C54" s="160">
        <f t="shared" si="11"/>
        <v>-7118.0893878569032</v>
      </c>
      <c r="D54" s="160" t="e">
        <f>#REF!+C54</f>
        <v>#REF!</v>
      </c>
      <c r="E54" s="160" t="e">
        <f t="shared" si="12"/>
        <v>#REF!</v>
      </c>
      <c r="F54" s="169" t="e">
        <f t="shared" si="13"/>
        <v>#REF!</v>
      </c>
    </row>
    <row r="55" spans="1:6" ht="15" hidden="1" customHeight="1" x14ac:dyDescent="0.2">
      <c r="A55" s="170" t="s">
        <v>83</v>
      </c>
      <c r="B55" s="160" t="e">
        <f>#REF!*0.7</f>
        <v>#REF!</v>
      </c>
      <c r="C55" s="160">
        <f t="shared" si="11"/>
        <v>-139122.4110417231</v>
      </c>
      <c r="D55" s="160" t="e">
        <f>#REF!+C55</f>
        <v>#REF!</v>
      </c>
      <c r="E55" s="160" t="e">
        <f t="shared" si="12"/>
        <v>#REF!</v>
      </c>
      <c r="F55" s="169" t="e">
        <f t="shared" si="13"/>
        <v>#REF!</v>
      </c>
    </row>
    <row r="56" spans="1:6" ht="15" hidden="1" customHeight="1" x14ac:dyDescent="0.2">
      <c r="A56" s="170" t="s">
        <v>84</v>
      </c>
      <c r="B56" s="160" t="e">
        <f>#REF!*0.7</f>
        <v>#REF!</v>
      </c>
      <c r="C56" s="160">
        <f t="shared" si="11"/>
        <v>-5555.8097803444816</v>
      </c>
      <c r="D56" s="160" t="e">
        <f>#REF!+C56</f>
        <v>#REF!</v>
      </c>
      <c r="E56" s="160" t="e">
        <f t="shared" si="12"/>
        <v>#REF!</v>
      </c>
      <c r="F56" s="169" t="e">
        <f t="shared" si="13"/>
        <v>#REF!</v>
      </c>
    </row>
    <row r="57" spans="1:6" ht="15" hidden="1" customHeight="1" x14ac:dyDescent="0.2">
      <c r="A57" s="170" t="s">
        <v>85</v>
      </c>
      <c r="B57" s="160" t="e">
        <f>#REF!*0.7</f>
        <v>#REF!</v>
      </c>
      <c r="C57" s="160">
        <f t="shared" si="11"/>
        <v>-21676.32924374775</v>
      </c>
      <c r="D57" s="160" t="e">
        <f>#REF!+C57</f>
        <v>#REF!</v>
      </c>
      <c r="E57" s="160" t="e">
        <f t="shared" si="12"/>
        <v>#REF!</v>
      </c>
      <c r="F57" s="169" t="e">
        <f t="shared" si="13"/>
        <v>#REF!</v>
      </c>
    </row>
    <row r="58" spans="1:6" ht="15" hidden="1" customHeight="1" x14ac:dyDescent="0.25">
      <c r="A58" s="171" t="s">
        <v>86</v>
      </c>
      <c r="B58" s="172" t="e">
        <f>#REF!*0.7</f>
        <v>#REF!</v>
      </c>
      <c r="C58" s="172">
        <f t="shared" si="11"/>
        <v>-393310</v>
      </c>
      <c r="D58" s="172" t="e">
        <f>#REF!+C58</f>
        <v>#REF!</v>
      </c>
      <c r="E58" s="172" t="e">
        <f>SUM(E38:E57)</f>
        <v>#REF!</v>
      </c>
      <c r="F58" s="173">
        <v>0</v>
      </c>
    </row>
    <row r="59" spans="1:6" ht="15.75" x14ac:dyDescent="0.25">
      <c r="A59" s="58"/>
      <c r="B59" s="58"/>
      <c r="C59" s="58"/>
      <c r="D59" s="87"/>
      <c r="E59" s="58"/>
      <c r="F59" s="58"/>
    </row>
  </sheetData>
  <mergeCells count="10">
    <mergeCell ref="A32:E32"/>
    <mergeCell ref="A34:A37"/>
    <mergeCell ref="A1:I1"/>
    <mergeCell ref="A2:I2"/>
    <mergeCell ref="A3:A7"/>
    <mergeCell ref="B3:D3"/>
    <mergeCell ref="E3:H3"/>
    <mergeCell ref="E4:F4"/>
    <mergeCell ref="H4:H6"/>
    <mergeCell ref="E5:F5"/>
  </mergeCells>
  <printOptions horizontalCentered="1"/>
  <pageMargins left="0.51181102362204722" right="0.70866141732283472" top="0.74803149606299213" bottom="0.74803149606299213" header="0.31496062992125984" footer="0.31496062992125984"/>
  <pageSetup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E29"/>
  <sheetViews>
    <sheetView workbookViewId="0">
      <selection activeCell="B2" sqref="B2:D2"/>
    </sheetView>
  </sheetViews>
  <sheetFormatPr baseColWidth="10" defaultRowHeight="15" x14ac:dyDescent="0.25"/>
  <cols>
    <col min="1" max="1" width="2.77734375" style="58" customWidth="1"/>
    <col min="2" max="2" width="26.77734375" style="58" customWidth="1"/>
    <col min="3" max="3" width="15" style="57" customWidth="1"/>
    <col min="4" max="4" width="17.33203125" style="118" customWidth="1"/>
    <col min="5" max="5" width="14.33203125" style="58" customWidth="1"/>
    <col min="6" max="6" width="14.77734375" style="58" customWidth="1"/>
    <col min="7" max="7" width="10" style="58" customWidth="1"/>
    <col min="8" max="16384" width="11.5546875" style="58"/>
  </cols>
  <sheetData>
    <row r="1" spans="2:5" x14ac:dyDescent="0.25">
      <c r="B1" s="56"/>
      <c r="C1" s="174"/>
    </row>
    <row r="2" spans="2:5" ht="33.75" customHeight="1" thickBot="1" x14ac:dyDescent="0.3">
      <c r="B2" s="395" t="s">
        <v>220</v>
      </c>
      <c r="C2" s="395"/>
      <c r="D2" s="395"/>
    </row>
    <row r="3" spans="2:5" x14ac:dyDescent="0.25">
      <c r="B3" s="396" t="s">
        <v>88</v>
      </c>
      <c r="C3" s="396" t="s">
        <v>237</v>
      </c>
      <c r="D3" s="401" t="s">
        <v>236</v>
      </c>
    </row>
    <row r="4" spans="2:5" x14ac:dyDescent="0.25">
      <c r="B4" s="397"/>
      <c r="C4" s="399"/>
      <c r="D4" s="402"/>
    </row>
    <row r="5" spans="2:5" x14ac:dyDescent="0.25">
      <c r="B5" s="397"/>
      <c r="C5" s="399"/>
      <c r="D5" s="402"/>
    </row>
    <row r="6" spans="2:5" ht="15.75" thickBot="1" x14ac:dyDescent="0.3">
      <c r="B6" s="398"/>
      <c r="C6" s="400"/>
      <c r="D6" s="403"/>
    </row>
    <row r="7" spans="2:5" x14ac:dyDescent="0.25">
      <c r="B7" s="175" t="s">
        <v>66</v>
      </c>
      <c r="C7" s="176">
        <v>5</v>
      </c>
      <c r="D7" s="177">
        <f>Datos!$L$49*'IEPS TyA'!C7/100</f>
        <v>15877.653749999999</v>
      </c>
      <c r="E7" s="178"/>
    </row>
    <row r="8" spans="2:5" x14ac:dyDescent="0.25">
      <c r="B8" s="179" t="s">
        <v>67</v>
      </c>
      <c r="C8" s="180">
        <v>5</v>
      </c>
      <c r="D8" s="181">
        <f>Datos!$L$49*'IEPS TyA'!C8/100</f>
        <v>15877.653749999999</v>
      </c>
      <c r="E8" s="178"/>
    </row>
    <row r="9" spans="2:5" x14ac:dyDescent="0.25">
      <c r="B9" s="179" t="s">
        <v>68</v>
      </c>
      <c r="C9" s="180">
        <v>5</v>
      </c>
      <c r="D9" s="181">
        <f>Datos!$L$49*'IEPS TyA'!C9/100</f>
        <v>15877.653749999999</v>
      </c>
      <c r="E9" s="178"/>
    </row>
    <row r="10" spans="2:5" x14ac:dyDescent="0.25">
      <c r="B10" s="179" t="s">
        <v>69</v>
      </c>
      <c r="C10" s="180">
        <v>5</v>
      </c>
      <c r="D10" s="181">
        <f>Datos!$L$49*'IEPS TyA'!C10/100</f>
        <v>15877.653749999999</v>
      </c>
      <c r="E10" s="178"/>
    </row>
    <row r="11" spans="2:5" x14ac:dyDescent="0.25">
      <c r="B11" s="179" t="s">
        <v>70</v>
      </c>
      <c r="C11" s="180">
        <v>5</v>
      </c>
      <c r="D11" s="181">
        <f>Datos!$L$49*'IEPS TyA'!C11/100</f>
        <v>15877.653749999999</v>
      </c>
      <c r="E11" s="178"/>
    </row>
    <row r="12" spans="2:5" x14ac:dyDescent="0.25">
      <c r="B12" s="179" t="s">
        <v>71</v>
      </c>
      <c r="C12" s="180">
        <v>5</v>
      </c>
      <c r="D12" s="181">
        <f>Datos!$L$49*'IEPS TyA'!C12/100</f>
        <v>15877.653749999999</v>
      </c>
      <c r="E12" s="178"/>
    </row>
    <row r="13" spans="2:5" x14ac:dyDescent="0.25">
      <c r="B13" s="179" t="s">
        <v>72</v>
      </c>
      <c r="C13" s="180">
        <v>5</v>
      </c>
      <c r="D13" s="181">
        <f>Datos!$L$49*'IEPS TyA'!C13/100</f>
        <v>15877.653749999999</v>
      </c>
      <c r="E13" s="178"/>
    </row>
    <row r="14" spans="2:5" x14ac:dyDescent="0.25">
      <c r="B14" s="179" t="s">
        <v>73</v>
      </c>
      <c r="C14" s="180">
        <v>5</v>
      </c>
      <c r="D14" s="181">
        <f>Datos!$L$49*'IEPS TyA'!C14/100</f>
        <v>15877.653749999999</v>
      </c>
      <c r="E14" s="178"/>
    </row>
    <row r="15" spans="2:5" x14ac:dyDescent="0.25">
      <c r="B15" s="179" t="s">
        <v>74</v>
      </c>
      <c r="C15" s="180">
        <v>5</v>
      </c>
      <c r="D15" s="181">
        <f>Datos!$L$49*'IEPS TyA'!C15/100</f>
        <v>15877.653749999999</v>
      </c>
      <c r="E15" s="178"/>
    </row>
    <row r="16" spans="2:5" x14ac:dyDescent="0.25">
      <c r="B16" s="179" t="s">
        <v>75</v>
      </c>
      <c r="C16" s="180">
        <v>5</v>
      </c>
      <c r="D16" s="181">
        <f>Datos!$L$49*'IEPS TyA'!C16/100</f>
        <v>15877.653749999999</v>
      </c>
      <c r="E16" s="178"/>
    </row>
    <row r="17" spans="2:5" x14ac:dyDescent="0.25">
      <c r="B17" s="179" t="s">
        <v>76</v>
      </c>
      <c r="C17" s="180">
        <v>5</v>
      </c>
      <c r="D17" s="181">
        <f>Datos!$L$49*'IEPS TyA'!C17/100</f>
        <v>15877.653749999999</v>
      </c>
      <c r="E17" s="178"/>
    </row>
    <row r="18" spans="2:5" x14ac:dyDescent="0.25">
      <c r="B18" s="179" t="s">
        <v>77</v>
      </c>
      <c r="C18" s="180">
        <v>5</v>
      </c>
      <c r="D18" s="181">
        <f>Datos!$L$49*'IEPS TyA'!C18/100</f>
        <v>15877.653749999999</v>
      </c>
      <c r="E18" s="178"/>
    </row>
    <row r="19" spans="2:5" x14ac:dyDescent="0.25">
      <c r="B19" s="179" t="s">
        <v>78</v>
      </c>
      <c r="C19" s="180">
        <v>5</v>
      </c>
      <c r="D19" s="181">
        <f>Datos!$L$49*'IEPS TyA'!C19/100</f>
        <v>15877.653749999999</v>
      </c>
      <c r="E19" s="178"/>
    </row>
    <row r="20" spans="2:5" x14ac:dyDescent="0.25">
      <c r="B20" s="179" t="s">
        <v>79</v>
      </c>
      <c r="C20" s="180">
        <v>5</v>
      </c>
      <c r="D20" s="181">
        <f>Datos!$L$49*'IEPS TyA'!C20/100</f>
        <v>15877.653749999999</v>
      </c>
      <c r="E20" s="178"/>
    </row>
    <row r="21" spans="2:5" x14ac:dyDescent="0.25">
      <c r="B21" s="179" t="s">
        <v>80</v>
      </c>
      <c r="C21" s="180">
        <v>5</v>
      </c>
      <c r="D21" s="181">
        <f>Datos!$L$49*'IEPS TyA'!C21/100</f>
        <v>15877.653749999999</v>
      </c>
      <c r="E21" s="178"/>
    </row>
    <row r="22" spans="2:5" x14ac:dyDescent="0.25">
      <c r="B22" s="179" t="s">
        <v>81</v>
      </c>
      <c r="C22" s="180">
        <v>5</v>
      </c>
      <c r="D22" s="181">
        <f>Datos!$L$49*'IEPS TyA'!C22/100</f>
        <v>15877.653749999999</v>
      </c>
      <c r="E22" s="178"/>
    </row>
    <row r="23" spans="2:5" x14ac:dyDescent="0.25">
      <c r="B23" s="179" t="s">
        <v>82</v>
      </c>
      <c r="C23" s="180">
        <v>5</v>
      </c>
      <c r="D23" s="181">
        <f>Datos!$L$49*'IEPS TyA'!C23/100</f>
        <v>15877.653749999999</v>
      </c>
      <c r="E23" s="178"/>
    </row>
    <row r="24" spans="2:5" x14ac:dyDescent="0.25">
      <c r="B24" s="179" t="s">
        <v>83</v>
      </c>
      <c r="C24" s="180">
        <v>5</v>
      </c>
      <c r="D24" s="181">
        <f>Datos!$L$49*'IEPS TyA'!C24/100</f>
        <v>15877.653749999999</v>
      </c>
      <c r="E24" s="178"/>
    </row>
    <row r="25" spans="2:5" x14ac:dyDescent="0.25">
      <c r="B25" s="179" t="s">
        <v>84</v>
      </c>
      <c r="C25" s="180">
        <v>5</v>
      </c>
      <c r="D25" s="181">
        <f>Datos!$L$49*'IEPS TyA'!C25/100</f>
        <v>15877.653749999999</v>
      </c>
      <c r="E25" s="178"/>
    </row>
    <row r="26" spans="2:5" ht="15.75" thickBot="1" x14ac:dyDescent="0.3">
      <c r="B26" s="182" t="s">
        <v>85</v>
      </c>
      <c r="C26" s="183">
        <v>5</v>
      </c>
      <c r="D26" s="184">
        <f>Datos!$L$49*'IEPS TyA'!C26/100</f>
        <v>15877.653749999999</v>
      </c>
      <c r="E26" s="178"/>
    </row>
    <row r="27" spans="2:5" ht="15.75" thickBot="1" x14ac:dyDescent="0.3">
      <c r="B27" s="275" t="s">
        <v>86</v>
      </c>
      <c r="C27" s="291">
        <v>100</v>
      </c>
      <c r="D27" s="292">
        <f>SUM(D7:D26)</f>
        <v>317553.07500000001</v>
      </c>
      <c r="E27" s="178"/>
    </row>
    <row r="28" spans="2:5" x14ac:dyDescent="0.25">
      <c r="B28" s="108" t="s">
        <v>87</v>
      </c>
      <c r="C28" s="174"/>
    </row>
    <row r="29" spans="2:5" x14ac:dyDescent="0.25">
      <c r="B29" s="115" t="s">
        <v>226</v>
      </c>
      <c r="C29" s="185"/>
      <c r="D29" s="185"/>
    </row>
  </sheetData>
  <mergeCells count="4">
    <mergeCell ref="B2:D2"/>
    <mergeCell ref="B3:B6"/>
    <mergeCell ref="C3:C6"/>
    <mergeCell ref="D3:D6"/>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1:M29"/>
  <sheetViews>
    <sheetView zoomScaleNormal="100" workbookViewId="0">
      <selection activeCell="C34" sqref="C34"/>
    </sheetView>
  </sheetViews>
  <sheetFormatPr baseColWidth="10" defaultRowHeight="15" x14ac:dyDescent="0.25"/>
  <cols>
    <col min="1" max="1" width="2.77734375" style="58" customWidth="1"/>
    <col min="2" max="2" width="15.88671875" style="58" customWidth="1"/>
    <col min="3" max="3" width="11.109375" style="58" customWidth="1"/>
    <col min="4" max="4" width="10.5546875" style="58" customWidth="1"/>
    <col min="5" max="5" width="8.6640625" style="57" customWidth="1"/>
    <col min="6" max="6" width="10.6640625" style="57" customWidth="1"/>
    <col min="7" max="7" width="11.33203125" style="58" customWidth="1"/>
    <col min="8" max="8" width="10" style="118" customWidth="1"/>
    <col min="9" max="11" width="0" style="58" hidden="1" customWidth="1"/>
    <col min="12" max="16384" width="11.5546875" style="58"/>
  </cols>
  <sheetData>
    <row r="1" spans="2:13" x14ac:dyDescent="0.25">
      <c r="B1" s="186"/>
      <c r="C1" s="186"/>
      <c r="D1" s="186"/>
      <c r="E1" s="187"/>
      <c r="F1" s="187"/>
      <c r="G1" s="188"/>
    </row>
    <row r="2" spans="2:13" ht="15.75" thickBot="1" x14ac:dyDescent="0.3">
      <c r="B2" s="404" t="s">
        <v>224</v>
      </c>
      <c r="C2" s="404"/>
      <c r="D2" s="404"/>
      <c r="E2" s="404"/>
      <c r="F2" s="404"/>
      <c r="G2" s="404"/>
      <c r="H2" s="404"/>
    </row>
    <row r="3" spans="2:13" ht="15" customHeight="1" x14ac:dyDescent="0.25">
      <c r="B3" s="385" t="s">
        <v>88</v>
      </c>
      <c r="C3" s="405" t="s">
        <v>121</v>
      </c>
      <c r="D3" s="405" t="s">
        <v>122</v>
      </c>
      <c r="E3" s="189" t="s">
        <v>123</v>
      </c>
      <c r="F3" s="190" t="s">
        <v>124</v>
      </c>
      <c r="G3" s="189" t="s">
        <v>125</v>
      </c>
      <c r="H3" s="407" t="s">
        <v>239</v>
      </c>
    </row>
    <row r="4" spans="2:13" x14ac:dyDescent="0.25">
      <c r="B4" s="386"/>
      <c r="C4" s="406"/>
      <c r="D4" s="406"/>
      <c r="E4" s="191">
        <v>2020</v>
      </c>
      <c r="F4" s="192" t="s">
        <v>126</v>
      </c>
      <c r="G4" s="191" t="s">
        <v>240</v>
      </c>
      <c r="H4" s="408"/>
    </row>
    <row r="5" spans="2:13" x14ac:dyDescent="0.25">
      <c r="B5" s="386"/>
      <c r="C5" s="191" t="s">
        <v>127</v>
      </c>
      <c r="D5" s="192" t="s">
        <v>127</v>
      </c>
      <c r="E5" s="191"/>
      <c r="F5" s="192" t="s">
        <v>42</v>
      </c>
      <c r="G5" s="191"/>
      <c r="H5" s="408"/>
    </row>
    <row r="6" spans="2:13" ht="15.75" thickBot="1" x14ac:dyDescent="0.3">
      <c r="B6" s="387"/>
      <c r="C6" s="193" t="s">
        <v>50</v>
      </c>
      <c r="D6" s="194" t="s">
        <v>95</v>
      </c>
      <c r="E6" s="193" t="s">
        <v>52</v>
      </c>
      <c r="F6" s="195" t="s">
        <v>128</v>
      </c>
      <c r="G6" s="196" t="s">
        <v>129</v>
      </c>
      <c r="H6" s="197" t="s">
        <v>55</v>
      </c>
      <c r="I6" s="198" t="s">
        <v>100</v>
      </c>
      <c r="J6" s="199" t="s">
        <v>130</v>
      </c>
      <c r="K6" s="200"/>
    </row>
    <row r="7" spans="2:13" x14ac:dyDescent="0.25">
      <c r="B7" s="201" t="s">
        <v>66</v>
      </c>
      <c r="C7" s="202">
        <f>'Predial y Agua'!G9</f>
        <v>11337932</v>
      </c>
      <c r="D7" s="203">
        <f>C7/$C$27*100</f>
        <v>1.4250484748769019</v>
      </c>
      <c r="E7" s="202">
        <f>'CENSO 2020'!C10</f>
        <v>37232</v>
      </c>
      <c r="F7" s="204">
        <f>D7*E7</f>
        <v>53057.404816616814</v>
      </c>
      <c r="G7" s="205">
        <f>F7/F$27*100</f>
        <v>0.21686411651904153</v>
      </c>
      <c r="H7" s="206">
        <f>$H$27*G7/100</f>
        <v>-100.98884805235423</v>
      </c>
      <c r="I7" s="207">
        <f t="shared" ref="I7:I26" si="0">G7</f>
        <v>0.21686411651904153</v>
      </c>
      <c r="J7" s="200">
        <v>0.307836</v>
      </c>
      <c r="K7" s="207">
        <f>I7-J7</f>
        <v>-9.0971883480958471E-2</v>
      </c>
    </row>
    <row r="8" spans="2:13" x14ac:dyDescent="0.25">
      <c r="B8" s="137" t="s">
        <v>67</v>
      </c>
      <c r="C8" s="141">
        <f>'Predial y Agua'!G10</f>
        <v>4476557</v>
      </c>
      <c r="D8" s="208">
        <f t="shared" ref="D8:D26" si="1">C8/$C$27*100</f>
        <v>0.56265205379160155</v>
      </c>
      <c r="E8" s="141">
        <f>'CENSO 2020'!C11</f>
        <v>15393</v>
      </c>
      <c r="F8" s="144">
        <f t="shared" ref="F8:F26" si="2">D8*E8</f>
        <v>8660.9030640141227</v>
      </c>
      <c r="G8" s="209">
        <f t="shared" ref="G8:G27" si="3">F8/F$27*100</f>
        <v>3.5400131192361767E-2</v>
      </c>
      <c r="H8" s="210">
        <f t="shared" ref="H8:H26" si="4">$H$27*G8/100</f>
        <v>-16.485062293396641</v>
      </c>
      <c r="I8" s="207">
        <f t="shared" si="0"/>
        <v>3.5400131192361767E-2</v>
      </c>
      <c r="J8" s="200">
        <v>5.7023999999999998E-2</v>
      </c>
      <c r="K8" s="207">
        <f t="shared" ref="K8:K26" si="5">I8-J8</f>
        <v>-2.1623868807638232E-2</v>
      </c>
    </row>
    <row r="9" spans="2:13" x14ac:dyDescent="0.25">
      <c r="B9" s="137" t="s">
        <v>68</v>
      </c>
      <c r="C9" s="141">
        <f>'Predial y Agua'!G11</f>
        <v>3050109</v>
      </c>
      <c r="D9" s="208">
        <f t="shared" si="1"/>
        <v>0.38336384260007139</v>
      </c>
      <c r="E9" s="141">
        <f>'CENSO 2020'!C12</f>
        <v>11536</v>
      </c>
      <c r="F9" s="144">
        <f t="shared" si="2"/>
        <v>4422.4852882344239</v>
      </c>
      <c r="G9" s="209">
        <f t="shared" si="3"/>
        <v>1.8076239653377235E-2</v>
      </c>
      <c r="H9" s="210">
        <f t="shared" si="4"/>
        <v>-8.4177071293054038</v>
      </c>
      <c r="I9" s="207">
        <f t="shared" si="0"/>
        <v>1.8076239653377235E-2</v>
      </c>
      <c r="J9" s="200">
        <v>3.8598E-2</v>
      </c>
      <c r="K9" s="207">
        <f t="shared" si="5"/>
        <v>-2.0521760346622765E-2</v>
      </c>
    </row>
    <row r="10" spans="2:13" x14ac:dyDescent="0.25">
      <c r="B10" s="137" t="s">
        <v>69</v>
      </c>
      <c r="C10" s="141">
        <f>'Predial y Agua'!G12</f>
        <v>323649261</v>
      </c>
      <c r="D10" s="208">
        <f t="shared" si="1"/>
        <v>40.679013225964525</v>
      </c>
      <c r="E10" s="141">
        <f>'CENSO 2020'!C13</f>
        <v>187632</v>
      </c>
      <c r="F10" s="144">
        <f t="shared" si="2"/>
        <v>7632684.6096141757</v>
      </c>
      <c r="G10" s="209">
        <f t="shared" si="3"/>
        <v>31.1974437923142</v>
      </c>
      <c r="H10" s="210">
        <f t="shared" si="4"/>
        <v>-14527.963230317293</v>
      </c>
      <c r="I10" s="207">
        <f t="shared" si="0"/>
        <v>31.1974437923142</v>
      </c>
      <c r="J10" s="200">
        <v>27.722322999999999</v>
      </c>
      <c r="K10" s="207">
        <f t="shared" si="5"/>
        <v>3.4751207923142005</v>
      </c>
    </row>
    <row r="11" spans="2:13" x14ac:dyDescent="0.25">
      <c r="B11" s="137" t="s">
        <v>70</v>
      </c>
      <c r="C11" s="141">
        <f>'Predial y Agua'!G13</f>
        <v>60010155</v>
      </c>
      <c r="D11" s="208">
        <f t="shared" si="1"/>
        <v>7.5425906470312665</v>
      </c>
      <c r="E11" s="141">
        <f>'CENSO 2020'!C14</f>
        <v>77436</v>
      </c>
      <c r="F11" s="144">
        <f t="shared" si="2"/>
        <v>584068.04934351321</v>
      </c>
      <c r="G11" s="209">
        <f t="shared" si="3"/>
        <v>2.3872898032926746</v>
      </c>
      <c r="H11" s="210">
        <f t="shared" si="4"/>
        <v>-1111.7083410177263</v>
      </c>
      <c r="I11" s="207">
        <f t="shared" si="0"/>
        <v>2.3872898032926746</v>
      </c>
      <c r="J11" s="200">
        <v>1.5035639999999999</v>
      </c>
      <c r="K11" s="207">
        <f t="shared" si="5"/>
        <v>0.88372580329267469</v>
      </c>
    </row>
    <row r="12" spans="2:13" x14ac:dyDescent="0.25">
      <c r="B12" s="137" t="s">
        <v>71</v>
      </c>
      <c r="C12" s="141">
        <f>'Predial y Agua'!G14</f>
        <v>94277</v>
      </c>
      <c r="D12" s="208">
        <f t="shared" si="1"/>
        <v>1.1849541438947569E-2</v>
      </c>
      <c r="E12" s="141">
        <f>'CENSO 2020'!C15</f>
        <v>47550</v>
      </c>
      <c r="F12" s="144">
        <f t="shared" si="2"/>
        <v>563.44569542195688</v>
      </c>
      <c r="G12" s="209">
        <f t="shared" si="3"/>
        <v>2.3029990510555678E-3</v>
      </c>
      <c r="H12" s="210">
        <f t="shared" si="4"/>
        <v>-1.0724559920974548</v>
      </c>
      <c r="I12" s="207">
        <f t="shared" si="0"/>
        <v>2.3029990510555678E-3</v>
      </c>
      <c r="J12" s="200">
        <v>1.0524E-2</v>
      </c>
      <c r="K12" s="207">
        <f t="shared" si="5"/>
        <v>-8.2210009489444326E-3</v>
      </c>
    </row>
    <row r="13" spans="2:13" x14ac:dyDescent="0.25">
      <c r="B13" s="137" t="s">
        <v>72</v>
      </c>
      <c r="C13" s="141">
        <f>'Predial y Agua'!G15</f>
        <v>99583</v>
      </c>
      <c r="D13" s="208">
        <f t="shared" si="1"/>
        <v>1.2516444998405931E-2</v>
      </c>
      <c r="E13" s="141">
        <f>'CENSO 2020'!C16</f>
        <v>12230</v>
      </c>
      <c r="F13" s="144">
        <f t="shared" si="2"/>
        <v>153.07612233050455</v>
      </c>
      <c r="G13" s="209">
        <f t="shared" si="3"/>
        <v>6.2567549513784101E-4</v>
      </c>
      <c r="H13" s="210">
        <f t="shared" si="4"/>
        <v>-0.29136331322479952</v>
      </c>
      <c r="I13" s="207">
        <f t="shared" si="0"/>
        <v>6.2567549513784101E-4</v>
      </c>
      <c r="J13" s="200">
        <v>6.78E-4</v>
      </c>
      <c r="K13" s="207">
        <f t="shared" si="5"/>
        <v>-5.2324504862158992E-5</v>
      </c>
    </row>
    <row r="14" spans="2:13" x14ac:dyDescent="0.25">
      <c r="B14" s="137" t="s">
        <v>73</v>
      </c>
      <c r="C14" s="141">
        <f>'Predial y Agua'!G16</f>
        <v>11883725</v>
      </c>
      <c r="D14" s="208">
        <f t="shared" si="1"/>
        <v>1.4936484172869013</v>
      </c>
      <c r="E14" s="141">
        <f>'CENSO 2020'!C17</f>
        <v>29299</v>
      </c>
      <c r="F14" s="144">
        <f t="shared" si="2"/>
        <v>43762.404978088925</v>
      </c>
      <c r="G14" s="209">
        <f t="shared" si="3"/>
        <v>0.17887221067679274</v>
      </c>
      <c r="H14" s="210">
        <f t="shared" si="4"/>
        <v>-83.296853323547495</v>
      </c>
      <c r="I14" s="207">
        <f t="shared" si="0"/>
        <v>0.17887221067679274</v>
      </c>
      <c r="J14" s="200">
        <v>0.364313</v>
      </c>
      <c r="K14" s="207">
        <f t="shared" si="5"/>
        <v>-0.18544078932320726</v>
      </c>
      <c r="M14" s="87"/>
    </row>
    <row r="15" spans="2:13" x14ac:dyDescent="0.25">
      <c r="B15" s="137" t="s">
        <v>74</v>
      </c>
      <c r="C15" s="141">
        <f>'Predial y Agua'!G17</f>
        <v>4290832</v>
      </c>
      <c r="D15" s="208">
        <f t="shared" si="1"/>
        <v>0.53930854388198901</v>
      </c>
      <c r="E15" s="141">
        <f>'CENSO 2020'!C18</f>
        <v>19321</v>
      </c>
      <c r="F15" s="144">
        <f t="shared" si="2"/>
        <v>10419.98037634391</v>
      </c>
      <c r="G15" s="209">
        <f t="shared" si="3"/>
        <v>4.2590093621651476E-2</v>
      </c>
      <c r="H15" s="210">
        <f t="shared" si="4"/>
        <v>-19.833269617543419</v>
      </c>
      <c r="I15" s="207">
        <f t="shared" si="0"/>
        <v>4.2590093621651476E-2</v>
      </c>
      <c r="J15" s="200">
        <v>6.7258999999999999E-2</v>
      </c>
      <c r="K15" s="207">
        <f t="shared" si="5"/>
        <v>-2.4668906378348524E-2</v>
      </c>
    </row>
    <row r="16" spans="2:13" x14ac:dyDescent="0.25">
      <c r="B16" s="137" t="s">
        <v>75</v>
      </c>
      <c r="C16" s="141">
        <f>'Predial y Agua'!G18</f>
        <v>561068</v>
      </c>
      <c r="D16" s="208">
        <f t="shared" si="1"/>
        <v>7.0519835337011519E-2</v>
      </c>
      <c r="E16" s="141">
        <f>'CENSO 2020'!C19</f>
        <v>13719</v>
      </c>
      <c r="F16" s="144">
        <f t="shared" si="2"/>
        <v>967.46162098846105</v>
      </c>
      <c r="G16" s="209">
        <f t="shared" si="3"/>
        <v>3.9543530337924418E-3</v>
      </c>
      <c r="H16" s="210">
        <f t="shared" si="4"/>
        <v>-1.8414552120703969</v>
      </c>
      <c r="I16" s="207">
        <f t="shared" si="0"/>
        <v>3.9543530337924418E-3</v>
      </c>
      <c r="J16" s="200">
        <v>7.6290000000000004E-3</v>
      </c>
      <c r="K16" s="207">
        <f t="shared" si="5"/>
        <v>-3.6746469662075586E-3</v>
      </c>
    </row>
    <row r="17" spans="2:11" x14ac:dyDescent="0.25">
      <c r="B17" s="137" t="s">
        <v>76</v>
      </c>
      <c r="C17" s="141">
        <f>'Predial y Agua'!G19</f>
        <v>2522032</v>
      </c>
      <c r="D17" s="208">
        <f t="shared" si="1"/>
        <v>0.31699059891969217</v>
      </c>
      <c r="E17" s="141">
        <f>'CENSO 2020'!C20</f>
        <v>33567</v>
      </c>
      <c r="F17" s="144">
        <f t="shared" si="2"/>
        <v>10640.423433937307</v>
      </c>
      <c r="G17" s="209">
        <f t="shared" si="3"/>
        <v>4.3491121274492422E-2</v>
      </c>
      <c r="H17" s="210">
        <f t="shared" si="4"/>
        <v>-20.252858372863084</v>
      </c>
      <c r="I17" s="207">
        <f t="shared" si="0"/>
        <v>4.3491121274492422E-2</v>
      </c>
      <c r="J17" s="200">
        <v>5.3082999999999998E-2</v>
      </c>
      <c r="K17" s="207">
        <f t="shared" si="5"/>
        <v>-9.5918787255075758E-3</v>
      </c>
    </row>
    <row r="18" spans="2:11" x14ac:dyDescent="0.25">
      <c r="B18" s="137" t="s">
        <v>77</v>
      </c>
      <c r="C18" s="141">
        <f>'Predial y Agua'!G20</f>
        <v>3423553</v>
      </c>
      <c r="D18" s="208">
        <f t="shared" si="1"/>
        <v>0.43030148543052144</v>
      </c>
      <c r="E18" s="141">
        <f>'CENSO 2020'!C21</f>
        <v>24096</v>
      </c>
      <c r="F18" s="144">
        <f t="shared" si="2"/>
        <v>10368.544592933844</v>
      </c>
      <c r="G18" s="209">
        <f t="shared" si="3"/>
        <v>4.2379857637338966E-2</v>
      </c>
      <c r="H18" s="210">
        <f t="shared" si="4"/>
        <v>-19.735367344840736</v>
      </c>
      <c r="I18" s="207">
        <f t="shared" si="0"/>
        <v>4.2379857637338966E-2</v>
      </c>
      <c r="J18" s="200">
        <v>4.0325E-2</v>
      </c>
      <c r="K18" s="207">
        <f t="shared" si="5"/>
        <v>2.0548576373389665E-3</v>
      </c>
    </row>
    <row r="19" spans="2:11" x14ac:dyDescent="0.25">
      <c r="B19" s="137" t="s">
        <v>78</v>
      </c>
      <c r="C19" s="141">
        <f>'Predial y Agua'!G21</f>
        <v>5209406</v>
      </c>
      <c r="D19" s="208">
        <f t="shared" si="1"/>
        <v>0.65476279759964895</v>
      </c>
      <c r="E19" s="141">
        <f>'CENSO 2020'!C22</f>
        <v>41518</v>
      </c>
      <c r="F19" s="144">
        <f t="shared" si="2"/>
        <v>27184.441830742224</v>
      </c>
      <c r="G19" s="209">
        <f t="shared" si="3"/>
        <v>0.11111229395903013</v>
      </c>
      <c r="H19" s="210">
        <f t="shared" si="4"/>
        <v>-51.742550826253236</v>
      </c>
      <c r="I19" s="207">
        <f t="shared" si="0"/>
        <v>0.11111229395903013</v>
      </c>
      <c r="J19" s="200">
        <v>0.15141299999999999</v>
      </c>
      <c r="K19" s="207">
        <f t="shared" si="5"/>
        <v>-4.0300706040969858E-2</v>
      </c>
    </row>
    <row r="20" spans="2:11" x14ac:dyDescent="0.25">
      <c r="B20" s="137" t="s">
        <v>79</v>
      </c>
      <c r="C20" s="141">
        <f>'Predial y Agua'!G22</f>
        <v>2088284</v>
      </c>
      <c r="D20" s="208">
        <f t="shared" si="1"/>
        <v>0.26247343248396943</v>
      </c>
      <c r="E20" s="141">
        <f>'CENSO 2020'!C23</f>
        <v>7683</v>
      </c>
      <c r="F20" s="144">
        <f t="shared" si="2"/>
        <v>2016.5833817743371</v>
      </c>
      <c r="G20" s="209">
        <f t="shared" si="3"/>
        <v>8.2424795367772846E-3</v>
      </c>
      <c r="H20" s="210">
        <f t="shared" si="4"/>
        <v>-3.8383413857273725</v>
      </c>
      <c r="I20" s="207">
        <f t="shared" si="0"/>
        <v>8.2424795367772846E-3</v>
      </c>
      <c r="J20" s="200">
        <v>7.8689999999999993E-3</v>
      </c>
      <c r="K20" s="207">
        <f t="shared" si="5"/>
        <v>3.7347953677728529E-4</v>
      </c>
    </row>
    <row r="21" spans="2:11" x14ac:dyDescent="0.25">
      <c r="B21" s="137" t="s">
        <v>80</v>
      </c>
      <c r="C21" s="141">
        <f>'Predial y Agua'!G23</f>
        <v>2820618</v>
      </c>
      <c r="D21" s="208">
        <f t="shared" si="1"/>
        <v>0.35451944667778373</v>
      </c>
      <c r="E21" s="141">
        <f>'CENSO 2020'!C24</f>
        <v>24911</v>
      </c>
      <c r="F21" s="144">
        <f t="shared" si="2"/>
        <v>8831.4339361902712</v>
      </c>
      <c r="G21" s="209">
        <f t="shared" si="3"/>
        <v>3.6097150337220503E-2</v>
      </c>
      <c r="H21" s="210">
        <f t="shared" si="4"/>
        <v>-16.809648774736171</v>
      </c>
      <c r="I21" s="207">
        <f t="shared" si="0"/>
        <v>3.6097150337220503E-2</v>
      </c>
      <c r="J21" s="200">
        <v>8.7175000000000002E-2</v>
      </c>
      <c r="K21" s="207">
        <f t="shared" si="5"/>
        <v>-5.10778496627795E-2</v>
      </c>
    </row>
    <row r="22" spans="2:11" x14ac:dyDescent="0.25">
      <c r="B22" s="137" t="s">
        <v>81</v>
      </c>
      <c r="C22" s="141">
        <f>'Predial y Agua'!G24</f>
        <v>17843967</v>
      </c>
      <c r="D22" s="208">
        <f t="shared" si="1"/>
        <v>2.2427827190270473</v>
      </c>
      <c r="E22" s="141">
        <f>'CENSO 2020'!C25</f>
        <v>93981</v>
      </c>
      <c r="F22" s="144">
        <f t="shared" si="2"/>
        <v>210778.96271688092</v>
      </c>
      <c r="G22" s="209">
        <f t="shared" si="3"/>
        <v>0.86152712686166921</v>
      </c>
      <c r="H22" s="210">
        <f t="shared" si="4"/>
        <v>-401.19422938268843</v>
      </c>
      <c r="I22" s="207">
        <f t="shared" si="0"/>
        <v>0.86152712686166921</v>
      </c>
      <c r="J22" s="200">
        <v>1.2821199999999999</v>
      </c>
      <c r="K22" s="207">
        <f t="shared" si="5"/>
        <v>-0.42059287313833071</v>
      </c>
    </row>
    <row r="23" spans="2:11" x14ac:dyDescent="0.25">
      <c r="B23" s="137" t="s">
        <v>82</v>
      </c>
      <c r="C23" s="141">
        <f>'Predial y Agua'!G25</f>
        <v>4883574</v>
      </c>
      <c r="D23" s="208">
        <f t="shared" si="1"/>
        <v>0.61380943902719587</v>
      </c>
      <c r="E23" s="141">
        <f>'CENSO 2020'!C26</f>
        <v>37135</v>
      </c>
      <c r="F23" s="144">
        <f t="shared" si="2"/>
        <v>22793.813518274917</v>
      </c>
      <c r="G23" s="209">
        <f t="shared" si="3"/>
        <v>9.3166264875291255E-2</v>
      </c>
      <c r="H23" s="210">
        <f t="shared" si="4"/>
        <v>-43.385479894595882</v>
      </c>
      <c r="I23" s="207">
        <f t="shared" si="0"/>
        <v>9.3166264875291255E-2</v>
      </c>
      <c r="J23" s="200">
        <v>0.39474799999999999</v>
      </c>
      <c r="K23" s="207">
        <f t="shared" si="5"/>
        <v>-0.30158173512470876</v>
      </c>
    </row>
    <row r="24" spans="2:11" x14ac:dyDescent="0.25">
      <c r="B24" s="137" t="s">
        <v>83</v>
      </c>
      <c r="C24" s="141">
        <f>'Predial y Agua'!G26</f>
        <v>288565311</v>
      </c>
      <c r="D24" s="208">
        <f t="shared" si="1"/>
        <v>36.269361673974487</v>
      </c>
      <c r="E24" s="141">
        <f>'CENSO 2020'!C27</f>
        <v>425924</v>
      </c>
      <c r="F24" s="144">
        <f t="shared" si="2"/>
        <v>15447991.60162591</v>
      </c>
      <c r="G24" s="209">
        <f t="shared" si="3"/>
        <v>63.141328948508402</v>
      </c>
      <c r="H24" s="210">
        <f t="shared" si="4"/>
        <v>-29403.5277820835</v>
      </c>
      <c r="I24" s="207">
        <f t="shared" si="0"/>
        <v>63.141328948508402</v>
      </c>
      <c r="J24" s="200">
        <v>66.428610000000006</v>
      </c>
      <c r="K24" s="207">
        <f t="shared" si="5"/>
        <v>-3.287281051491604</v>
      </c>
    </row>
    <row r="25" spans="2:11" x14ac:dyDescent="0.25">
      <c r="B25" s="137" t="s">
        <v>84</v>
      </c>
      <c r="C25" s="141">
        <f>'Predial y Agua'!G27</f>
        <v>3116609</v>
      </c>
      <c r="D25" s="208">
        <f t="shared" si="1"/>
        <v>0.39172213259328303</v>
      </c>
      <c r="E25" s="141">
        <f>'CENSO 2020'!C28</f>
        <v>30064</v>
      </c>
      <c r="F25" s="144">
        <f t="shared" si="2"/>
        <v>11776.734194284461</v>
      </c>
      <c r="G25" s="209">
        <f t="shared" si="3"/>
        <v>4.8135619624637679E-2</v>
      </c>
      <c r="H25" s="210">
        <f t="shared" si="4"/>
        <v>-22.415699075562024</v>
      </c>
      <c r="I25" s="207">
        <f t="shared" si="0"/>
        <v>4.8135619624637679E-2</v>
      </c>
      <c r="J25" s="200">
        <v>4.3832000000000003E-2</v>
      </c>
      <c r="K25" s="207">
        <f t="shared" si="5"/>
        <v>4.3036196246376765E-3</v>
      </c>
    </row>
    <row r="26" spans="2:11" ht="15.75" thickBot="1" x14ac:dyDescent="0.3">
      <c r="B26" s="137" t="s">
        <v>85</v>
      </c>
      <c r="C26" s="141">
        <f>'Predial y Agua'!G28</f>
        <v>45690433</v>
      </c>
      <c r="D26" s="211">
        <f t="shared" si="1"/>
        <v>5.7427652470587471</v>
      </c>
      <c r="E26" s="153">
        <f>'CENSO 2020'!C29</f>
        <v>65229</v>
      </c>
      <c r="F26" s="144">
        <f t="shared" si="2"/>
        <v>374594.83430039504</v>
      </c>
      <c r="G26" s="209">
        <f t="shared" si="3"/>
        <v>1.5310997225350518</v>
      </c>
      <c r="H26" s="210">
        <f t="shared" si="4"/>
        <v>-712.99945659067782</v>
      </c>
      <c r="I26" s="207">
        <f t="shared" si="0"/>
        <v>1.5310997225350518</v>
      </c>
      <c r="J26" s="200">
        <v>1.431076</v>
      </c>
      <c r="K26" s="207">
        <f t="shared" si="5"/>
        <v>0.10002372253505176</v>
      </c>
    </row>
    <row r="27" spans="2:11" ht="15.75" thickBot="1" x14ac:dyDescent="0.3">
      <c r="B27" s="212" t="s">
        <v>86</v>
      </c>
      <c r="C27" s="157">
        <f t="shared" ref="C27:F27" si="6">SUM(C7:C26)</f>
        <v>795617286</v>
      </c>
      <c r="D27" s="214">
        <f t="shared" si="6"/>
        <v>100</v>
      </c>
      <c r="E27" s="213">
        <f t="shared" si="6"/>
        <v>1235456</v>
      </c>
      <c r="F27" s="215">
        <f t="shared" si="6"/>
        <v>24465737.194451053</v>
      </c>
      <c r="G27" s="216">
        <f t="shared" si="3"/>
        <v>100</v>
      </c>
      <c r="H27" s="217">
        <f>Datos!L34</f>
        <v>-46567.8</v>
      </c>
      <c r="I27" s="218">
        <f t="shared" ref="I27:K27" si="7">SUM(I7:I26)</f>
        <v>99.999999999999972</v>
      </c>
      <c r="J27" s="217">
        <f t="shared" si="7"/>
        <v>99.999999000000003</v>
      </c>
      <c r="K27" s="217">
        <f t="shared" si="7"/>
        <v>9.9999999028654862E-7</v>
      </c>
    </row>
    <row r="28" spans="2:11" x14ac:dyDescent="0.25">
      <c r="B28" s="108" t="s">
        <v>87</v>
      </c>
      <c r="C28" s="56"/>
      <c r="D28" s="56"/>
      <c r="E28" s="174"/>
      <c r="F28" s="174"/>
    </row>
    <row r="29" spans="2:11" x14ac:dyDescent="0.25">
      <c r="B29" s="115" t="s">
        <v>227</v>
      </c>
      <c r="C29" s="56"/>
      <c r="D29" s="56"/>
      <c r="E29" s="174"/>
      <c r="F29" s="174"/>
    </row>
  </sheetData>
  <mergeCells count="5">
    <mergeCell ref="B2:H2"/>
    <mergeCell ref="B3:B6"/>
    <mergeCell ref="C3:C4"/>
    <mergeCell ref="D3:D4"/>
    <mergeCell ref="H3:H5"/>
  </mergeCells>
  <printOptions horizontalCentered="1"/>
  <pageMargins left="0.39370078740157483"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FF00"/>
    <pageSetUpPr fitToPage="1"/>
  </sheetPr>
  <dimension ref="B2:AC86"/>
  <sheetViews>
    <sheetView zoomScale="78" zoomScaleNormal="78" workbookViewId="0">
      <selection activeCell="C48" sqref="C48:H48"/>
    </sheetView>
  </sheetViews>
  <sheetFormatPr baseColWidth="10" defaultRowHeight="15" x14ac:dyDescent="0.25"/>
  <cols>
    <col min="1" max="1" width="9.44140625" style="58" customWidth="1"/>
    <col min="2" max="2" width="5.5546875" style="219" customWidth="1"/>
    <col min="3" max="3" width="21.6640625" style="58" customWidth="1"/>
    <col min="4" max="4" width="12.77734375" style="58" customWidth="1"/>
    <col min="5" max="7" width="13.21875" style="58" customWidth="1"/>
    <col min="8" max="8" width="13.21875" style="58" bestFit="1" customWidth="1"/>
    <col min="9" max="9" width="16.21875" style="57" customWidth="1"/>
    <col min="10" max="10" width="10.44140625" style="57" customWidth="1"/>
    <col min="11" max="11" width="15.33203125" style="58" customWidth="1"/>
    <col min="12" max="12" width="16" style="87" bestFit="1" customWidth="1"/>
    <col min="13" max="16" width="13.21875" style="87" customWidth="1"/>
    <col min="17" max="22" width="13.21875" style="87" bestFit="1" customWidth="1"/>
    <col min="23" max="23" width="20.5546875" style="87" hidden="1" customWidth="1"/>
    <col min="24" max="26" width="13.21875" style="87" hidden="1" customWidth="1"/>
    <col min="27" max="27" width="10.33203125" style="260" hidden="1" customWidth="1"/>
    <col min="28" max="28" width="12.5546875" style="87" hidden="1" customWidth="1"/>
    <col min="29" max="29" width="14.33203125" style="87" bestFit="1" customWidth="1"/>
    <col min="30" max="30" width="14.33203125" style="58" customWidth="1"/>
    <col min="31" max="31" width="11.6640625" style="58" bestFit="1" customWidth="1"/>
    <col min="32" max="16384" width="11.5546875" style="58"/>
  </cols>
  <sheetData>
    <row r="2" spans="2:16" x14ac:dyDescent="0.25">
      <c r="C2" s="56"/>
      <c r="D2" s="56"/>
      <c r="E2" s="56"/>
      <c r="F2" s="56"/>
      <c r="G2" s="56"/>
      <c r="H2" s="56"/>
      <c r="K2" s="59"/>
    </row>
    <row r="3" spans="2:16" x14ac:dyDescent="0.25">
      <c r="C3" s="56"/>
      <c r="D3" s="56"/>
      <c r="E3" s="56"/>
      <c r="F3" s="56"/>
      <c r="G3" s="56"/>
      <c r="H3" s="56"/>
      <c r="I3" s="174"/>
      <c r="J3" s="174"/>
    </row>
    <row r="4" spans="2:16" ht="15.75" thickBot="1" x14ac:dyDescent="0.3">
      <c r="C4" s="404" t="s">
        <v>131</v>
      </c>
      <c r="D4" s="404"/>
      <c r="E4" s="404"/>
      <c r="F4" s="404"/>
      <c r="G4" s="404"/>
      <c r="H4" s="404"/>
      <c r="I4" s="404"/>
      <c r="J4" s="404"/>
      <c r="K4" s="404"/>
    </row>
    <row r="5" spans="2:16" x14ac:dyDescent="0.25">
      <c r="B5" s="449" t="s">
        <v>132</v>
      </c>
      <c r="C5" s="450"/>
      <c r="D5" s="450"/>
      <c r="E5" s="450"/>
      <c r="F5" s="450"/>
      <c r="G5" s="450"/>
      <c r="H5" s="450"/>
      <c r="I5" s="450"/>
      <c r="J5" s="450"/>
      <c r="K5" s="450"/>
      <c r="L5" s="424" t="s">
        <v>223</v>
      </c>
    </row>
    <row r="6" spans="2:16" ht="15.75" thickBot="1" x14ac:dyDescent="0.3">
      <c r="B6" s="451" t="s">
        <v>133</v>
      </c>
      <c r="C6" s="452"/>
      <c r="D6" s="452"/>
      <c r="E6" s="452"/>
      <c r="F6" s="452"/>
      <c r="G6" s="452"/>
      <c r="H6" s="453"/>
      <c r="I6" s="220"/>
      <c r="J6" s="221"/>
      <c r="K6" s="222" t="s">
        <v>134</v>
      </c>
      <c r="L6" s="424"/>
    </row>
    <row r="7" spans="2:16" ht="15.75" thickBot="1" x14ac:dyDescent="0.3">
      <c r="B7" s="223"/>
      <c r="C7" s="175"/>
      <c r="D7" s="224"/>
      <c r="E7" s="224"/>
      <c r="F7" s="225"/>
      <c r="G7" s="226"/>
      <c r="H7" s="227"/>
      <c r="I7" s="228"/>
      <c r="J7" s="229"/>
      <c r="K7" s="230"/>
      <c r="M7" s="231">
        <v>79519983.979999989</v>
      </c>
      <c r="N7" s="232"/>
    </row>
    <row r="8" spans="2:16" ht="15.75" thickBot="1" x14ac:dyDescent="0.3">
      <c r="B8" s="417" t="s">
        <v>135</v>
      </c>
      <c r="C8" s="418"/>
      <c r="D8" s="418"/>
      <c r="E8" s="418"/>
      <c r="F8" s="418"/>
      <c r="G8" s="418"/>
      <c r="H8" s="418"/>
      <c r="I8" s="418"/>
      <c r="J8" s="418"/>
      <c r="K8" s="418"/>
      <c r="M8" s="233">
        <v>0.22500000000000001</v>
      </c>
      <c r="N8" s="234"/>
    </row>
    <row r="9" spans="2:16" x14ac:dyDescent="0.25">
      <c r="B9" s="235">
        <v>1</v>
      </c>
      <c r="C9" s="440" t="s">
        <v>136</v>
      </c>
      <c r="D9" s="411"/>
      <c r="E9" s="411"/>
      <c r="F9" s="411"/>
      <c r="G9" s="411"/>
      <c r="H9" s="441"/>
      <c r="I9" s="236"/>
      <c r="J9" s="237"/>
      <c r="K9" s="231">
        <v>437696804</v>
      </c>
      <c r="L9" s="232">
        <v>-112036444</v>
      </c>
      <c r="M9" s="238">
        <f>M7/M8</f>
        <v>353422151.02222216</v>
      </c>
      <c r="N9" s="149"/>
      <c r="O9" s="239"/>
      <c r="P9" s="239"/>
    </row>
    <row r="10" spans="2:16" x14ac:dyDescent="0.25">
      <c r="B10" s="235">
        <v>2</v>
      </c>
      <c r="C10" s="440" t="s">
        <v>137</v>
      </c>
      <c r="D10" s="411"/>
      <c r="E10" s="411"/>
      <c r="F10" s="411"/>
      <c r="G10" s="411"/>
      <c r="H10" s="441"/>
      <c r="I10" s="448">
        <v>353422151</v>
      </c>
      <c r="J10" s="434"/>
      <c r="K10" s="434"/>
      <c r="L10" s="240">
        <f>L9*22.5%</f>
        <v>-25208199.900000002</v>
      </c>
      <c r="M10" s="238">
        <f>M9/100</f>
        <v>3534221.5102222217</v>
      </c>
      <c r="N10" s="149"/>
    </row>
    <row r="11" spans="2:16" x14ac:dyDescent="0.25">
      <c r="B11" s="235">
        <v>3</v>
      </c>
      <c r="C11" s="241" t="s">
        <v>138</v>
      </c>
      <c r="D11" s="239"/>
      <c r="E11" s="239"/>
      <c r="F11" s="239"/>
      <c r="G11" s="239"/>
      <c r="H11" s="242"/>
      <c r="I11" s="243"/>
      <c r="J11" s="244"/>
      <c r="K11" s="232">
        <f>K9-I10</f>
        <v>84274653</v>
      </c>
      <c r="L11" s="245"/>
    </row>
    <row r="12" spans="2:16" x14ac:dyDescent="0.25">
      <c r="B12" s="235">
        <v>4</v>
      </c>
      <c r="C12" s="440" t="s">
        <v>139</v>
      </c>
      <c r="D12" s="411"/>
      <c r="E12" s="411"/>
      <c r="F12" s="411"/>
      <c r="G12" s="411"/>
      <c r="H12" s="441"/>
      <c r="I12" s="442">
        <f>K11*22.5%</f>
        <v>18961796.925000001</v>
      </c>
      <c r="J12" s="426"/>
      <c r="K12" s="426"/>
      <c r="L12" s="245"/>
      <c r="N12" s="149">
        <f>K9-I10</f>
        <v>84274653</v>
      </c>
    </row>
    <row r="13" spans="2:16" x14ac:dyDescent="0.25">
      <c r="B13" s="235">
        <v>5</v>
      </c>
      <c r="C13" s="440" t="s">
        <v>140</v>
      </c>
      <c r="D13" s="411"/>
      <c r="E13" s="411"/>
      <c r="F13" s="411"/>
      <c r="G13" s="411"/>
      <c r="H13" s="441"/>
      <c r="I13" s="442">
        <f>I10*22.5%</f>
        <v>79519983.975000009</v>
      </c>
      <c r="J13" s="426"/>
      <c r="K13" s="426"/>
      <c r="L13" s="245"/>
    </row>
    <row r="14" spans="2:16" ht="15.75" thickBot="1" x14ac:dyDescent="0.3">
      <c r="B14" s="235">
        <v>6</v>
      </c>
      <c r="C14" s="440" t="s">
        <v>141</v>
      </c>
      <c r="D14" s="411"/>
      <c r="E14" s="411"/>
      <c r="F14" s="411"/>
      <c r="G14" s="411"/>
      <c r="H14" s="441"/>
      <c r="I14" s="443"/>
      <c r="J14" s="427"/>
      <c r="K14" s="427"/>
      <c r="L14" s="245"/>
    </row>
    <row r="15" spans="2:16" x14ac:dyDescent="0.25">
      <c r="B15" s="246"/>
      <c r="C15" s="412" t="s">
        <v>142</v>
      </c>
      <c r="D15" s="413"/>
      <c r="E15" s="413"/>
      <c r="F15" s="413"/>
      <c r="G15" s="413"/>
      <c r="H15" s="413"/>
      <c r="I15" s="444">
        <f>I12*60%</f>
        <v>11377078.154999999</v>
      </c>
      <c r="J15" s="444"/>
      <c r="K15" s="445"/>
      <c r="L15" s="240">
        <f>L10*60%</f>
        <v>-15124919.940000001</v>
      </c>
    </row>
    <row r="16" spans="2:16" x14ac:dyDescent="0.25">
      <c r="B16" s="246"/>
      <c r="C16" s="409" t="s">
        <v>143</v>
      </c>
      <c r="D16" s="410"/>
      <c r="E16" s="410"/>
      <c r="F16" s="410"/>
      <c r="G16" s="410"/>
      <c r="H16" s="410"/>
      <c r="I16" s="446">
        <f>I12*30%</f>
        <v>5688539.0774999997</v>
      </c>
      <c r="J16" s="446"/>
      <c r="K16" s="447"/>
      <c r="L16" s="240">
        <f>L10*30%</f>
        <v>-7562459.9700000007</v>
      </c>
    </row>
    <row r="17" spans="2:17" x14ac:dyDescent="0.25">
      <c r="B17" s="246"/>
      <c r="C17" s="409" t="s">
        <v>144</v>
      </c>
      <c r="D17" s="410"/>
      <c r="E17" s="410"/>
      <c r="F17" s="410"/>
      <c r="G17" s="410"/>
      <c r="H17" s="410"/>
      <c r="I17" s="446">
        <f>I12*10%</f>
        <v>1896179.6925000001</v>
      </c>
      <c r="J17" s="446"/>
      <c r="K17" s="447"/>
      <c r="L17" s="240">
        <f>L10*10%</f>
        <v>-2520819.9900000002</v>
      </c>
    </row>
    <row r="18" spans="2:17" x14ac:dyDescent="0.25">
      <c r="B18" s="246"/>
      <c r="C18" s="409" t="s">
        <v>145</v>
      </c>
      <c r="D18" s="410"/>
      <c r="E18" s="410"/>
      <c r="F18" s="410"/>
      <c r="G18" s="410"/>
      <c r="H18" s="410"/>
      <c r="I18" s="247">
        <f>SUM(I15:I17)</f>
        <v>18961796.924999997</v>
      </c>
      <c r="J18" s="247"/>
      <c r="K18" s="248">
        <f>SUM(I18)</f>
        <v>18961796.924999997</v>
      </c>
      <c r="L18" s="240">
        <f>SUM(L15:L17)</f>
        <v>-25208199.900000006</v>
      </c>
    </row>
    <row r="19" spans="2:17" ht="15.75" thickBot="1" x14ac:dyDescent="0.3">
      <c r="B19" s="249">
        <v>6</v>
      </c>
      <c r="C19" s="436" t="s">
        <v>146</v>
      </c>
      <c r="D19" s="432"/>
      <c r="E19" s="432"/>
      <c r="F19" s="432"/>
      <c r="G19" s="432"/>
      <c r="H19" s="432"/>
      <c r="I19" s="437">
        <f>I12+I13</f>
        <v>98481780.900000006</v>
      </c>
      <c r="J19" s="437"/>
      <c r="K19" s="438"/>
      <c r="L19" s="240"/>
    </row>
    <row r="20" spans="2:17" ht="11.25" customHeight="1" thickBot="1" x14ac:dyDescent="0.3">
      <c r="B20" s="250"/>
      <c r="C20" s="411"/>
      <c r="D20" s="411"/>
      <c r="E20" s="411"/>
      <c r="F20" s="411"/>
      <c r="G20" s="411"/>
      <c r="H20" s="411"/>
      <c r="I20" s="439"/>
      <c r="J20" s="427"/>
      <c r="K20" s="427"/>
      <c r="L20" s="240"/>
    </row>
    <row r="21" spans="2:17" ht="15.75" thickBot="1" x14ac:dyDescent="0.3">
      <c r="B21" s="417" t="s">
        <v>147</v>
      </c>
      <c r="C21" s="418"/>
      <c r="D21" s="418"/>
      <c r="E21" s="418"/>
      <c r="F21" s="418"/>
      <c r="G21" s="418"/>
      <c r="H21" s="418"/>
      <c r="I21" s="418"/>
      <c r="J21" s="418"/>
      <c r="K21" s="418"/>
      <c r="L21" s="240"/>
    </row>
    <row r="22" spans="2:17" x14ac:dyDescent="0.25">
      <c r="B22" s="251">
        <v>7</v>
      </c>
      <c r="C22" s="411" t="s">
        <v>148</v>
      </c>
      <c r="D22" s="411"/>
      <c r="E22" s="411"/>
      <c r="F22" s="411"/>
      <c r="G22" s="411"/>
      <c r="H22" s="411"/>
      <c r="I22" s="252"/>
      <c r="J22" s="244"/>
      <c r="K22" s="231">
        <v>39036286</v>
      </c>
      <c r="L22" s="240">
        <v>-393310</v>
      </c>
    </row>
    <row r="23" spans="2:17" x14ac:dyDescent="0.25">
      <c r="B23" s="251">
        <v>8</v>
      </c>
      <c r="C23" s="411" t="s">
        <v>149</v>
      </c>
      <c r="D23" s="411"/>
      <c r="E23" s="411"/>
      <c r="F23" s="411"/>
      <c r="G23" s="411"/>
      <c r="H23" s="411"/>
      <c r="I23" s="252"/>
      <c r="J23" s="244"/>
      <c r="K23" s="231">
        <v>35431649</v>
      </c>
      <c r="L23" s="245"/>
    </row>
    <row r="24" spans="2:17" x14ac:dyDescent="0.25">
      <c r="B24" s="251">
        <v>9</v>
      </c>
      <c r="C24" s="239" t="s">
        <v>150</v>
      </c>
      <c r="D24" s="239"/>
      <c r="E24" s="239"/>
      <c r="F24" s="239"/>
      <c r="G24" s="239"/>
      <c r="H24" s="239"/>
      <c r="I24" s="252"/>
      <c r="J24" s="244"/>
      <c r="K24" s="232">
        <f>K22-K23</f>
        <v>3604637</v>
      </c>
      <c r="L24" s="245"/>
    </row>
    <row r="25" spans="2:17" x14ac:dyDescent="0.25">
      <c r="B25" s="251">
        <v>10</v>
      </c>
      <c r="C25" s="411" t="s">
        <v>151</v>
      </c>
      <c r="D25" s="411"/>
      <c r="E25" s="411"/>
      <c r="F25" s="411"/>
      <c r="G25" s="411"/>
      <c r="H25" s="411"/>
      <c r="I25" s="252"/>
      <c r="J25" s="244"/>
      <c r="K25" s="232">
        <f>K24</f>
        <v>3604637</v>
      </c>
      <c r="L25" s="245"/>
    </row>
    <row r="26" spans="2:17" x14ac:dyDescent="0.25">
      <c r="B26" s="246"/>
      <c r="C26" s="410" t="s">
        <v>152</v>
      </c>
      <c r="D26" s="410"/>
      <c r="E26" s="410"/>
      <c r="F26" s="410"/>
      <c r="G26" s="410"/>
      <c r="H26" s="410"/>
      <c r="I26" s="253"/>
      <c r="J26" s="253"/>
      <c r="K26" s="247">
        <f>K25-K29</f>
        <v>2408492</v>
      </c>
      <c r="L26" s="240"/>
    </row>
    <row r="27" spans="2:17" x14ac:dyDescent="0.25">
      <c r="B27" s="246"/>
      <c r="C27" s="428">
        <v>0.5</v>
      </c>
      <c r="D27" s="410"/>
      <c r="E27" s="410"/>
      <c r="F27" s="410"/>
      <c r="G27" s="410"/>
      <c r="H27" s="410"/>
      <c r="I27" s="253"/>
      <c r="J27" s="253"/>
      <c r="K27" s="247">
        <f>K26*0.5</f>
        <v>1204246</v>
      </c>
      <c r="L27" s="240">
        <f>L22*C27</f>
        <v>-196655</v>
      </c>
    </row>
    <row r="28" spans="2:17" x14ac:dyDescent="0.25">
      <c r="B28" s="246"/>
      <c r="C28" s="428">
        <v>0.5</v>
      </c>
      <c r="D28" s="410"/>
      <c r="E28" s="410"/>
      <c r="F28" s="410"/>
      <c r="G28" s="410"/>
      <c r="H28" s="410"/>
      <c r="I28" s="253"/>
      <c r="J28" s="253"/>
      <c r="K28" s="247">
        <f>K26*0.5</f>
        <v>1204246</v>
      </c>
      <c r="L28" s="240">
        <f>L22*C28</f>
        <v>-196655</v>
      </c>
    </row>
    <row r="29" spans="2:17" x14ac:dyDescent="0.25">
      <c r="B29" s="246"/>
      <c r="C29" s="410" t="s">
        <v>153</v>
      </c>
      <c r="D29" s="410"/>
      <c r="E29" s="410"/>
      <c r="F29" s="410"/>
      <c r="G29" s="410"/>
      <c r="H29" s="410"/>
      <c r="I29" s="253"/>
      <c r="J29" s="253"/>
      <c r="K29" s="247">
        <v>1196145</v>
      </c>
      <c r="L29" s="240"/>
    </row>
    <row r="30" spans="2:17" ht="15.75" thickBot="1" x14ac:dyDescent="0.3">
      <c r="B30" s="249">
        <v>8</v>
      </c>
      <c r="C30" s="432" t="s">
        <v>154</v>
      </c>
      <c r="D30" s="432"/>
      <c r="E30" s="432"/>
      <c r="F30" s="432"/>
      <c r="G30" s="432"/>
      <c r="H30" s="432"/>
      <c r="I30" s="254"/>
      <c r="J30" s="254"/>
      <c r="K30" s="255">
        <f>K23+K24</f>
        <v>39036286</v>
      </c>
      <c r="L30" s="240">
        <f>SUM(L27:L29)</f>
        <v>-393310</v>
      </c>
      <c r="O30" s="87">
        <v>437696804</v>
      </c>
    </row>
    <row r="31" spans="2:17" ht="15.75" thickBot="1" x14ac:dyDescent="0.3">
      <c r="B31" s="250"/>
      <c r="C31" s="256"/>
      <c r="D31" s="118"/>
      <c r="E31" s="118"/>
      <c r="F31" s="118"/>
      <c r="G31" s="118"/>
      <c r="H31" s="257"/>
      <c r="I31" s="252"/>
      <c r="J31" s="244"/>
      <c r="K31" s="244"/>
      <c r="L31" s="245"/>
    </row>
    <row r="32" spans="2:17" ht="15.75" thickBot="1" x14ac:dyDescent="0.3">
      <c r="B32" s="417" t="s">
        <v>155</v>
      </c>
      <c r="C32" s="418"/>
      <c r="D32" s="418"/>
      <c r="E32" s="418"/>
      <c r="F32" s="418"/>
      <c r="G32" s="418"/>
      <c r="H32" s="418"/>
      <c r="I32" s="418"/>
      <c r="J32" s="418"/>
      <c r="K32" s="418"/>
      <c r="L32" s="431"/>
      <c r="M32" s="431"/>
      <c r="Q32" s="87">
        <v>79519983.979999989</v>
      </c>
    </row>
    <row r="33" spans="2:17" x14ac:dyDescent="0.25">
      <c r="B33" s="250">
        <v>9</v>
      </c>
      <c r="C33" s="411" t="s">
        <v>156</v>
      </c>
      <c r="D33" s="411"/>
      <c r="E33" s="411"/>
      <c r="F33" s="411"/>
      <c r="G33" s="411"/>
      <c r="H33" s="411"/>
      <c r="I33" s="258">
        <f>K33*22.5%</f>
        <v>138635.32500000001</v>
      </c>
      <c r="J33" s="244"/>
      <c r="K33" s="231">
        <v>616157</v>
      </c>
      <c r="L33" s="240">
        <v>-206968</v>
      </c>
      <c r="M33" s="149"/>
      <c r="Q33" s="87">
        <v>0.22500000000000001</v>
      </c>
    </row>
    <row r="34" spans="2:17" x14ac:dyDescent="0.25">
      <c r="B34" s="250">
        <v>10</v>
      </c>
      <c r="C34" s="411" t="s">
        <v>157</v>
      </c>
      <c r="D34" s="411"/>
      <c r="E34" s="411"/>
      <c r="F34" s="411"/>
      <c r="G34" s="411"/>
      <c r="H34" s="411"/>
      <c r="I34" s="258">
        <f t="shared" ref="I34:I35" si="0">K34*22.5%</f>
        <v>4226222.4750000006</v>
      </c>
      <c r="J34" s="244"/>
      <c r="K34" s="232">
        <v>18783211</v>
      </c>
      <c r="L34" s="149">
        <f>L33*22.5%</f>
        <v>-46567.8</v>
      </c>
      <c r="Q34" s="87">
        <v>353422151.02222216</v>
      </c>
    </row>
    <row r="35" spans="2:17" x14ac:dyDescent="0.25">
      <c r="B35" s="250">
        <v>11</v>
      </c>
      <c r="C35" s="239" t="s">
        <v>158</v>
      </c>
      <c r="D35" s="239"/>
      <c r="E35" s="239"/>
      <c r="F35" s="239"/>
      <c r="G35" s="239"/>
      <c r="H35" s="239"/>
      <c r="I35" s="258">
        <f t="shared" si="0"/>
        <v>-4087587.15</v>
      </c>
      <c r="J35" s="244"/>
      <c r="K35" s="259">
        <f>K33-K34</f>
        <v>-18167054</v>
      </c>
      <c r="Q35" s="87">
        <v>3534221.5102222217</v>
      </c>
    </row>
    <row r="36" spans="2:17" ht="15.75" thickBot="1" x14ac:dyDescent="0.3">
      <c r="B36" s="250"/>
      <c r="C36" s="256"/>
      <c r="D36" s="118"/>
      <c r="E36" s="118"/>
      <c r="F36" s="118"/>
      <c r="G36" s="118"/>
      <c r="H36" s="257"/>
      <c r="I36" s="252"/>
      <c r="J36" s="244"/>
      <c r="K36" s="244"/>
    </row>
    <row r="37" spans="2:17" ht="15.75" thickBot="1" x14ac:dyDescent="0.3">
      <c r="B37" s="417" t="s">
        <v>159</v>
      </c>
      <c r="C37" s="418"/>
      <c r="D37" s="418"/>
      <c r="E37" s="418"/>
      <c r="F37" s="418"/>
      <c r="G37" s="418"/>
      <c r="H37" s="418"/>
      <c r="I37" s="418"/>
      <c r="J37" s="418"/>
      <c r="K37" s="418"/>
    </row>
    <row r="38" spans="2:17" x14ac:dyDescent="0.25">
      <c r="B38" s="250">
        <v>12</v>
      </c>
      <c r="C38" s="411" t="s">
        <v>160</v>
      </c>
      <c r="D38" s="411"/>
      <c r="E38" s="411"/>
      <c r="F38" s="411"/>
      <c r="G38" s="411"/>
      <c r="H38" s="411"/>
      <c r="I38" s="433">
        <v>0</v>
      </c>
      <c r="J38" s="434"/>
      <c r="K38" s="435"/>
    </row>
    <row r="39" spans="2:17" x14ac:dyDescent="0.25">
      <c r="B39" s="250">
        <v>13</v>
      </c>
      <c r="C39" s="411" t="s">
        <v>161</v>
      </c>
      <c r="D39" s="411"/>
      <c r="E39" s="411"/>
      <c r="F39" s="411"/>
      <c r="G39" s="411"/>
      <c r="H39" s="411"/>
      <c r="I39" s="252"/>
      <c r="J39" s="244"/>
      <c r="K39" s="232">
        <v>0</v>
      </c>
      <c r="L39" s="149"/>
      <c r="M39" s="149"/>
    </row>
    <row r="40" spans="2:17" x14ac:dyDescent="0.25">
      <c r="B40" s="250">
        <v>14</v>
      </c>
      <c r="C40" s="239" t="s">
        <v>162</v>
      </c>
      <c r="D40" s="239"/>
      <c r="E40" s="239"/>
      <c r="F40" s="239"/>
      <c r="G40" s="239"/>
      <c r="H40" s="239"/>
      <c r="I40" s="252"/>
      <c r="J40" s="244"/>
      <c r="K40" s="259">
        <f>I38-K39</f>
        <v>0</v>
      </c>
      <c r="L40" s="149"/>
      <c r="M40" s="149"/>
    </row>
    <row r="41" spans="2:17" x14ac:dyDescent="0.25">
      <c r="B41" s="250"/>
      <c r="C41" s="239"/>
      <c r="D41" s="239"/>
      <c r="E41" s="239"/>
      <c r="F41" s="239"/>
      <c r="G41" s="239"/>
      <c r="H41" s="239"/>
      <c r="I41" s="252"/>
      <c r="J41" s="244"/>
      <c r="K41" s="244"/>
      <c r="L41" s="149"/>
      <c r="M41" s="149"/>
    </row>
    <row r="42" spans="2:17" x14ac:dyDescent="0.25">
      <c r="B42" s="429" t="s">
        <v>163</v>
      </c>
      <c r="C42" s="430"/>
      <c r="D42" s="430"/>
      <c r="E42" s="430"/>
      <c r="F42" s="430"/>
      <c r="G42" s="430"/>
      <c r="H42" s="430"/>
      <c r="I42" s="430"/>
      <c r="J42" s="430"/>
      <c r="K42" s="430"/>
      <c r="M42" s="149"/>
    </row>
    <row r="43" spans="2:17" x14ac:dyDescent="0.25">
      <c r="B43" s="250">
        <v>15</v>
      </c>
      <c r="C43" s="411" t="s">
        <v>164</v>
      </c>
      <c r="D43" s="411"/>
      <c r="E43" s="411"/>
      <c r="F43" s="411"/>
      <c r="G43" s="411"/>
      <c r="H43" s="411"/>
      <c r="I43" s="425">
        <v>8000158</v>
      </c>
      <c r="J43" s="426"/>
      <c r="K43" s="427"/>
    </row>
    <row r="44" spans="2:17" x14ac:dyDescent="0.25">
      <c r="B44" s="250">
        <v>16</v>
      </c>
      <c r="C44" s="411" t="s">
        <v>165</v>
      </c>
      <c r="D44" s="411"/>
      <c r="E44" s="411"/>
      <c r="F44" s="411"/>
      <c r="G44" s="411"/>
      <c r="H44" s="411"/>
      <c r="I44" s="252"/>
      <c r="J44" s="244"/>
      <c r="K44" s="232">
        <v>0</v>
      </c>
    </row>
    <row r="45" spans="2:17" x14ac:dyDescent="0.25">
      <c r="B45" s="250">
        <v>17</v>
      </c>
      <c r="C45" s="239" t="s">
        <v>166</v>
      </c>
      <c r="D45" s="239"/>
      <c r="E45" s="239"/>
      <c r="F45" s="239"/>
      <c r="G45" s="239"/>
      <c r="H45" s="239"/>
      <c r="I45" s="252"/>
      <c r="J45" s="244"/>
      <c r="K45" s="259">
        <f>I43-K44</f>
        <v>8000158</v>
      </c>
    </row>
    <row r="46" spans="2:17" ht="15.75" thickBot="1" x14ac:dyDescent="0.3">
      <c r="B46" s="250"/>
      <c r="C46" s="239"/>
      <c r="D46" s="239"/>
      <c r="E46" s="239"/>
      <c r="F46" s="239"/>
      <c r="G46" s="239"/>
      <c r="H46" s="239"/>
      <c r="I46" s="252"/>
      <c r="J46" s="244"/>
      <c r="K46" s="244"/>
    </row>
    <row r="47" spans="2:17" ht="15.75" thickBot="1" x14ac:dyDescent="0.3">
      <c r="B47" s="417" t="s">
        <v>167</v>
      </c>
      <c r="C47" s="418"/>
      <c r="D47" s="418"/>
      <c r="E47" s="418"/>
      <c r="F47" s="418"/>
      <c r="G47" s="418"/>
      <c r="H47" s="418"/>
      <c r="I47" s="418"/>
      <c r="J47" s="418"/>
      <c r="K47" s="418"/>
      <c r="L47" s="238">
        <v>1411347</v>
      </c>
    </row>
    <row r="48" spans="2:17" x14ac:dyDescent="0.25">
      <c r="B48" s="250">
        <v>18</v>
      </c>
      <c r="C48" s="411" t="s">
        <v>168</v>
      </c>
      <c r="D48" s="411"/>
      <c r="E48" s="411"/>
      <c r="F48" s="411"/>
      <c r="G48" s="411"/>
      <c r="H48" s="411"/>
      <c r="I48" s="258"/>
      <c r="J48" s="244"/>
      <c r="K48" s="231">
        <v>1266765.74</v>
      </c>
      <c r="L48" s="233">
        <v>0.22500000000000001</v>
      </c>
    </row>
    <row r="49" spans="2:27" x14ac:dyDescent="0.25">
      <c r="B49" s="250">
        <v>19</v>
      </c>
      <c r="C49" s="411" t="s">
        <v>169</v>
      </c>
      <c r="D49" s="411"/>
      <c r="E49" s="411"/>
      <c r="F49" s="411"/>
      <c r="G49" s="411"/>
      <c r="H49" s="411"/>
      <c r="I49" s="258"/>
      <c r="J49" s="244"/>
      <c r="K49" s="232"/>
      <c r="L49" s="238">
        <f>L47*L48</f>
        <v>317553.07500000001</v>
      </c>
    </row>
    <row r="50" spans="2:27" x14ac:dyDescent="0.25">
      <c r="B50" s="250">
        <v>20</v>
      </c>
      <c r="C50" s="239" t="s">
        <v>170</v>
      </c>
      <c r="D50" s="239"/>
      <c r="E50" s="239"/>
      <c r="F50" s="239"/>
      <c r="G50" s="239"/>
      <c r="H50" s="239"/>
      <c r="I50" s="258"/>
      <c r="J50" s="244"/>
      <c r="K50" s="259">
        <f>K48-K49</f>
        <v>1266765.74</v>
      </c>
      <c r="L50" s="238">
        <f>L49/100</f>
        <v>3175.5307499999999</v>
      </c>
    </row>
    <row r="51" spans="2:27" ht="15.75" thickBot="1" x14ac:dyDescent="0.3">
      <c r="B51" s="250"/>
      <c r="C51" s="256"/>
      <c r="D51" s="118"/>
      <c r="E51" s="118"/>
      <c r="F51" s="118"/>
      <c r="G51" s="118"/>
      <c r="H51" s="257"/>
      <c r="I51" s="252"/>
      <c r="J51" s="244"/>
      <c r="K51" s="244"/>
    </row>
    <row r="52" spans="2:27" ht="15.75" thickBot="1" x14ac:dyDescent="0.3">
      <c r="B52" s="417" t="s">
        <v>171</v>
      </c>
      <c r="C52" s="418"/>
      <c r="D52" s="418"/>
      <c r="E52" s="418"/>
      <c r="F52" s="418"/>
      <c r="G52" s="418"/>
      <c r="H52" s="418"/>
      <c r="I52" s="418"/>
      <c r="J52" s="418"/>
      <c r="K52" s="418"/>
    </row>
    <row r="53" spans="2:27" x14ac:dyDescent="0.25">
      <c r="B53" s="261">
        <v>21</v>
      </c>
      <c r="C53" s="411" t="s">
        <v>172</v>
      </c>
      <c r="D53" s="411"/>
      <c r="E53" s="411"/>
      <c r="F53" s="411"/>
      <c r="G53" s="411"/>
      <c r="H53" s="411"/>
      <c r="I53" s="258">
        <f>K53*22.5%</f>
        <v>4228804.3500000006</v>
      </c>
      <c r="J53" s="244"/>
      <c r="K53" s="231">
        <v>18794686</v>
      </c>
      <c r="O53" s="238">
        <v>2973029.9267640822</v>
      </c>
      <c r="Q53" s="232"/>
    </row>
    <row r="54" spans="2:27" x14ac:dyDescent="0.25">
      <c r="B54" s="261">
        <v>22</v>
      </c>
      <c r="C54" s="411" t="s">
        <v>169</v>
      </c>
      <c r="D54" s="411"/>
      <c r="E54" s="411"/>
      <c r="F54" s="411"/>
      <c r="G54" s="411"/>
      <c r="H54" s="411"/>
      <c r="I54" s="258">
        <f t="shared" ref="I54:I55" si="1">K54*22.5%</f>
        <v>2973029.9267640822</v>
      </c>
      <c r="J54" s="244"/>
      <c r="K54" s="232">
        <v>13213466.341173697</v>
      </c>
      <c r="O54" s="233">
        <v>0.22500000000000001</v>
      </c>
      <c r="Q54" s="234"/>
    </row>
    <row r="55" spans="2:27" x14ac:dyDescent="0.25">
      <c r="B55" s="261">
        <v>23</v>
      </c>
      <c r="C55" s="239" t="s">
        <v>173</v>
      </c>
      <c r="D55" s="239"/>
      <c r="E55" s="239"/>
      <c r="F55" s="239"/>
      <c r="G55" s="239"/>
      <c r="H55" s="239"/>
      <c r="I55" s="258">
        <f t="shared" si="1"/>
        <v>1255774.4232359182</v>
      </c>
      <c r="J55" s="244"/>
      <c r="K55" s="259">
        <f>K53-K54</f>
        <v>5581219.6588263027</v>
      </c>
      <c r="O55" s="238">
        <f>O53/O54</f>
        <v>13213466.341173697</v>
      </c>
      <c r="Q55" s="149"/>
    </row>
    <row r="56" spans="2:27" ht="15.75" thickBot="1" x14ac:dyDescent="0.3">
      <c r="B56" s="261"/>
      <c r="C56" s="239"/>
      <c r="D56" s="239"/>
      <c r="E56" s="239"/>
      <c r="F56" s="239"/>
      <c r="G56" s="239"/>
      <c r="H56" s="239"/>
      <c r="I56" s="252"/>
      <c r="J56" s="244"/>
      <c r="K56" s="244"/>
      <c r="O56" s="238">
        <f>O55/100</f>
        <v>132134.66341173698</v>
      </c>
      <c r="Q56" s="149"/>
    </row>
    <row r="57" spans="2:27" ht="15.75" thickBot="1" x14ac:dyDescent="0.3">
      <c r="B57" s="417" t="s">
        <v>174</v>
      </c>
      <c r="C57" s="418"/>
      <c r="D57" s="418"/>
      <c r="E57" s="418"/>
      <c r="F57" s="418"/>
      <c r="G57" s="418"/>
      <c r="H57" s="418"/>
      <c r="I57" s="418"/>
      <c r="J57" s="418"/>
      <c r="K57" s="418"/>
    </row>
    <row r="58" spans="2:27" s="87" customFormat="1" x14ac:dyDescent="0.25">
      <c r="B58" s="262">
        <v>24</v>
      </c>
      <c r="C58" s="411" t="s">
        <v>175</v>
      </c>
      <c r="D58" s="411"/>
      <c r="E58" s="411"/>
      <c r="F58" s="411"/>
      <c r="G58" s="411"/>
      <c r="H58" s="411"/>
      <c r="I58" s="252"/>
      <c r="J58" s="244"/>
      <c r="K58" s="231">
        <f>'[1]LEY DE INGRESOS'!C13</f>
        <v>45920944</v>
      </c>
      <c r="AA58" s="260"/>
    </row>
    <row r="59" spans="2:27" x14ac:dyDescent="0.25">
      <c r="B59" s="250">
        <v>25</v>
      </c>
      <c r="C59" s="411" t="s">
        <v>176</v>
      </c>
      <c r="D59" s="411"/>
      <c r="E59" s="411"/>
      <c r="F59" s="411"/>
      <c r="G59" s="411"/>
      <c r="H59" s="411"/>
      <c r="I59" s="252"/>
      <c r="J59" s="244"/>
      <c r="K59" s="232">
        <v>25000000</v>
      </c>
    </row>
    <row r="60" spans="2:27" x14ac:dyDescent="0.25">
      <c r="B60" s="250">
        <v>26</v>
      </c>
      <c r="C60" s="239" t="s">
        <v>177</v>
      </c>
      <c r="D60" s="239"/>
      <c r="E60" s="239"/>
      <c r="F60" s="239"/>
      <c r="G60" s="239"/>
      <c r="H60" s="239"/>
      <c r="I60" s="252"/>
      <c r="J60" s="244"/>
      <c r="K60" s="232">
        <f>K58-K59</f>
        <v>20920944</v>
      </c>
    </row>
    <row r="61" spans="2:27" x14ac:dyDescent="0.25">
      <c r="B61" s="250"/>
      <c r="C61" s="263"/>
      <c r="D61" s="239"/>
      <c r="E61" s="239"/>
      <c r="F61" s="239"/>
      <c r="G61" s="239"/>
      <c r="H61" s="264"/>
      <c r="I61" s="252"/>
      <c r="J61" s="244"/>
      <c r="K61" s="244"/>
    </row>
    <row r="62" spans="2:27" ht="15.75" thickBot="1" x14ac:dyDescent="0.3">
      <c r="B62" s="250"/>
      <c r="C62" s="263"/>
      <c r="D62" s="239"/>
      <c r="E62" s="239"/>
      <c r="F62" s="239"/>
      <c r="G62" s="239"/>
      <c r="H62" s="264"/>
      <c r="I62" s="252"/>
      <c r="J62" s="244"/>
      <c r="K62" s="244"/>
    </row>
    <row r="63" spans="2:27" ht="15.75" thickBot="1" x14ac:dyDescent="0.3">
      <c r="B63" s="417" t="s">
        <v>178</v>
      </c>
      <c r="C63" s="418"/>
      <c r="D63" s="418"/>
      <c r="E63" s="418"/>
      <c r="F63" s="418"/>
      <c r="G63" s="418"/>
      <c r="H63" s="418"/>
      <c r="I63" s="418"/>
      <c r="J63" s="418"/>
      <c r="K63" s="418"/>
    </row>
    <row r="64" spans="2:27" x14ac:dyDescent="0.25">
      <c r="B64" s="250"/>
      <c r="C64" s="411" t="s">
        <v>179</v>
      </c>
      <c r="D64" s="411"/>
      <c r="E64" s="411"/>
      <c r="F64" s="411"/>
      <c r="G64" s="411"/>
      <c r="H64" s="411"/>
      <c r="I64" s="252"/>
      <c r="J64" s="244"/>
      <c r="K64" s="231">
        <v>3844937.04</v>
      </c>
    </row>
    <row r="65" spans="2:13" x14ac:dyDescent="0.25">
      <c r="B65" s="250"/>
      <c r="C65" s="411" t="s">
        <v>180</v>
      </c>
      <c r="D65" s="411"/>
      <c r="E65" s="411"/>
      <c r="F65" s="411"/>
      <c r="G65" s="411"/>
      <c r="H65" s="411"/>
      <c r="I65" s="252"/>
      <c r="J65" s="244"/>
      <c r="K65" s="232"/>
    </row>
    <row r="66" spans="2:13" ht="15.75" thickBot="1" x14ac:dyDescent="0.3">
      <c r="B66" s="250"/>
      <c r="C66" s="239"/>
      <c r="D66" s="239"/>
      <c r="E66" s="239"/>
      <c r="F66" s="239"/>
      <c r="G66" s="239"/>
      <c r="H66" s="239"/>
      <c r="I66" s="252"/>
      <c r="J66" s="244"/>
      <c r="K66" s="232"/>
    </row>
    <row r="67" spans="2:13" x14ac:dyDescent="0.25">
      <c r="B67" s="250"/>
      <c r="C67" s="412" t="s">
        <v>181</v>
      </c>
      <c r="D67" s="413"/>
      <c r="E67" s="413"/>
      <c r="F67" s="413"/>
      <c r="G67" s="413"/>
      <c r="H67" s="413"/>
      <c r="I67" s="265">
        <f>K64*0.6</f>
        <v>2306962.2239999999</v>
      </c>
      <c r="J67" s="266">
        <f>I67*0.225</f>
        <v>519066.50040000002</v>
      </c>
      <c r="K67" s="232"/>
      <c r="M67" s="149"/>
    </row>
    <row r="68" spans="2:13" x14ac:dyDescent="0.25">
      <c r="B68" s="250"/>
      <c r="C68" s="409" t="s">
        <v>182</v>
      </c>
      <c r="D68" s="410"/>
      <c r="E68" s="410"/>
      <c r="F68" s="410"/>
      <c r="G68" s="410"/>
      <c r="H68" s="410"/>
      <c r="I68" s="265">
        <f>K64*0.3</f>
        <v>1153481.112</v>
      </c>
      <c r="J68" s="266">
        <f t="shared" ref="J68:J69" si="2">I68*0.225</f>
        <v>259533.25020000001</v>
      </c>
      <c r="K68" s="232"/>
    </row>
    <row r="69" spans="2:13" x14ac:dyDescent="0.25">
      <c r="B69" s="250"/>
      <c r="C69" s="409" t="s">
        <v>183</v>
      </c>
      <c r="D69" s="410"/>
      <c r="E69" s="410"/>
      <c r="F69" s="410"/>
      <c r="G69" s="410"/>
      <c r="H69" s="410"/>
      <c r="I69" s="265">
        <f>K64*0.1</f>
        <v>384493.70400000003</v>
      </c>
      <c r="J69" s="266">
        <f t="shared" si="2"/>
        <v>86511.083400000003</v>
      </c>
      <c r="K69" s="232"/>
    </row>
    <row r="70" spans="2:13" x14ac:dyDescent="0.25">
      <c r="B70" s="250"/>
      <c r="C70" s="409" t="s">
        <v>184</v>
      </c>
      <c r="D70" s="410"/>
      <c r="E70" s="410"/>
      <c r="F70" s="410"/>
      <c r="G70" s="410"/>
      <c r="H70" s="410"/>
      <c r="I70" s="265">
        <f>SUM(I67:I69)</f>
        <v>3844937.04</v>
      </c>
      <c r="J70" s="266">
        <f>J67+J68+J69</f>
        <v>865110.83400000003</v>
      </c>
      <c r="K70" s="232"/>
    </row>
    <row r="71" spans="2:13" ht="15.75" thickBot="1" x14ac:dyDescent="0.3">
      <c r="B71" s="250"/>
      <c r="C71" s="414"/>
      <c r="D71" s="415"/>
      <c r="E71" s="415"/>
      <c r="F71" s="415"/>
      <c r="G71" s="415"/>
      <c r="H71" s="416"/>
      <c r="I71" s="252"/>
      <c r="J71" s="244"/>
      <c r="K71" s="244"/>
    </row>
    <row r="72" spans="2:13" ht="15.75" thickBot="1" x14ac:dyDescent="0.3">
      <c r="B72" s="417" t="s">
        <v>185</v>
      </c>
      <c r="C72" s="418"/>
      <c r="D72" s="418"/>
      <c r="E72" s="418"/>
      <c r="F72" s="418"/>
      <c r="G72" s="418"/>
      <c r="H72" s="418"/>
      <c r="I72" s="418"/>
      <c r="J72" s="418"/>
      <c r="K72" s="418"/>
    </row>
    <row r="73" spans="2:13" x14ac:dyDescent="0.25">
      <c r="B73" s="250"/>
      <c r="C73" s="414"/>
      <c r="D73" s="415"/>
      <c r="E73" s="415"/>
      <c r="F73" s="415"/>
      <c r="G73" s="415"/>
      <c r="H73" s="416"/>
      <c r="I73" s="252"/>
      <c r="J73" s="244"/>
      <c r="K73" s="232"/>
    </row>
    <row r="74" spans="2:13" x14ac:dyDescent="0.25">
      <c r="B74" s="250">
        <v>27</v>
      </c>
      <c r="C74" s="411" t="s">
        <v>186</v>
      </c>
      <c r="D74" s="411"/>
      <c r="E74" s="411"/>
      <c r="F74" s="411"/>
      <c r="G74" s="411"/>
      <c r="H74" s="411"/>
      <c r="I74" s="252"/>
      <c r="J74" s="244"/>
      <c r="K74" s="232">
        <v>816484</v>
      </c>
    </row>
    <row r="75" spans="2:13" x14ac:dyDescent="0.25">
      <c r="B75" s="250"/>
      <c r="C75" s="411"/>
      <c r="D75" s="411"/>
      <c r="E75" s="411"/>
      <c r="F75" s="411"/>
      <c r="G75" s="411"/>
      <c r="H75" s="411"/>
      <c r="I75" s="252"/>
      <c r="J75" s="244"/>
      <c r="K75" s="244"/>
    </row>
    <row r="76" spans="2:13" ht="15.75" thickBot="1" x14ac:dyDescent="0.3">
      <c r="B76" s="250"/>
      <c r="C76" s="239"/>
      <c r="D76" s="239"/>
      <c r="E76" s="239"/>
      <c r="F76" s="239"/>
      <c r="G76" s="239"/>
      <c r="H76" s="239"/>
      <c r="I76" s="252"/>
      <c r="J76" s="244"/>
      <c r="K76" s="244"/>
    </row>
    <row r="77" spans="2:13" x14ac:dyDescent="0.25">
      <c r="B77" s="250"/>
      <c r="C77" s="412" t="s">
        <v>181</v>
      </c>
      <c r="D77" s="413"/>
      <c r="E77" s="413"/>
      <c r="F77" s="413"/>
      <c r="G77" s="413"/>
      <c r="H77" s="413"/>
      <c r="I77" s="265">
        <f>K74*0.6</f>
        <v>489890.39999999997</v>
      </c>
      <c r="J77" s="266">
        <f>I77*0.225</f>
        <v>110225.34</v>
      </c>
      <c r="K77" s="244"/>
    </row>
    <row r="78" spans="2:13" x14ac:dyDescent="0.25">
      <c r="B78" s="250"/>
      <c r="C78" s="409" t="s">
        <v>182</v>
      </c>
      <c r="D78" s="410"/>
      <c r="E78" s="410"/>
      <c r="F78" s="410"/>
      <c r="G78" s="410"/>
      <c r="H78" s="410"/>
      <c r="I78" s="265">
        <f>K74*0.3</f>
        <v>244945.19999999998</v>
      </c>
      <c r="J78" s="266">
        <f t="shared" ref="J78:J79" si="3">I78*0.225</f>
        <v>55112.67</v>
      </c>
      <c r="K78" s="244"/>
    </row>
    <row r="79" spans="2:13" x14ac:dyDescent="0.25">
      <c r="B79" s="250"/>
      <c r="C79" s="409" t="s">
        <v>183</v>
      </c>
      <c r="D79" s="410"/>
      <c r="E79" s="410"/>
      <c r="F79" s="410"/>
      <c r="G79" s="410"/>
      <c r="H79" s="410"/>
      <c r="I79" s="265">
        <f>K74*0.1</f>
        <v>81648.400000000009</v>
      </c>
      <c r="J79" s="266">
        <f t="shared" si="3"/>
        <v>18370.890000000003</v>
      </c>
      <c r="K79" s="244"/>
    </row>
    <row r="80" spans="2:13" x14ac:dyDescent="0.25">
      <c r="B80" s="250"/>
      <c r="C80" s="409" t="s">
        <v>184</v>
      </c>
      <c r="D80" s="410"/>
      <c r="E80" s="410"/>
      <c r="F80" s="410"/>
      <c r="G80" s="410"/>
      <c r="H80" s="410"/>
      <c r="I80" s="265">
        <f>SUM(I77:I79)</f>
        <v>816484</v>
      </c>
      <c r="J80" s="266">
        <f>J77+J78+J79</f>
        <v>183708.90000000002</v>
      </c>
      <c r="K80" s="244"/>
    </row>
    <row r="81" spans="2:11" x14ac:dyDescent="0.25">
      <c r="B81" s="250"/>
      <c r="C81" s="239"/>
      <c r="D81" s="239"/>
      <c r="E81" s="239"/>
      <c r="F81" s="239"/>
      <c r="G81" s="239"/>
      <c r="H81" s="239"/>
      <c r="I81" s="252"/>
      <c r="J81" s="244"/>
      <c r="K81" s="244"/>
    </row>
    <row r="82" spans="2:11" x14ac:dyDescent="0.25">
      <c r="B82" s="250"/>
      <c r="C82" s="256"/>
      <c r="D82" s="118"/>
      <c r="E82" s="118"/>
      <c r="F82" s="118"/>
      <c r="G82" s="118"/>
      <c r="H82" s="257"/>
      <c r="I82" s="252"/>
      <c r="J82" s="244"/>
      <c r="K82" s="244"/>
    </row>
    <row r="83" spans="2:11" x14ac:dyDescent="0.25">
      <c r="B83" s="267"/>
      <c r="C83" s="419" t="s">
        <v>86</v>
      </c>
      <c r="D83" s="420"/>
      <c r="E83" s="420"/>
      <c r="F83" s="420"/>
      <c r="G83" s="420"/>
      <c r="H83" s="421"/>
      <c r="I83" s="422"/>
      <c r="J83" s="423"/>
      <c r="K83" s="423"/>
    </row>
    <row r="84" spans="2:11" x14ac:dyDescent="0.25">
      <c r="C84" s="268"/>
      <c r="D84" s="268"/>
      <c r="E84" s="268"/>
      <c r="F84" s="268"/>
      <c r="G84" s="268"/>
      <c r="H84" s="268"/>
      <c r="I84" s="269"/>
      <c r="J84" s="269"/>
      <c r="K84" s="87"/>
    </row>
    <row r="85" spans="2:11" ht="15" customHeight="1" x14ac:dyDescent="0.25">
      <c r="C85" s="268" t="s">
        <v>187</v>
      </c>
      <c r="D85" s="268"/>
      <c r="E85" s="268"/>
      <c r="F85" s="268"/>
      <c r="G85" s="268"/>
      <c r="H85" s="268"/>
      <c r="I85" s="269"/>
      <c r="J85" s="269"/>
      <c r="K85" s="87"/>
    </row>
    <row r="86" spans="2:11" ht="14.45" customHeight="1" x14ac:dyDescent="0.25"/>
  </sheetData>
  <mergeCells count="73">
    <mergeCell ref="C10:H10"/>
    <mergeCell ref="I10:K10"/>
    <mergeCell ref="C4:K4"/>
    <mergeCell ref="B5:K5"/>
    <mergeCell ref="B6:H6"/>
    <mergeCell ref="B8:K8"/>
    <mergeCell ref="C9:H9"/>
    <mergeCell ref="C22:H22"/>
    <mergeCell ref="C23:H23"/>
    <mergeCell ref="C25:H25"/>
    <mergeCell ref="C12:H12"/>
    <mergeCell ref="I12:K12"/>
    <mergeCell ref="C13:H13"/>
    <mergeCell ref="I13:K13"/>
    <mergeCell ref="C14:H14"/>
    <mergeCell ref="I14:K14"/>
    <mergeCell ref="B21:K21"/>
    <mergeCell ref="C15:H15"/>
    <mergeCell ref="I15:K15"/>
    <mergeCell ref="C16:H16"/>
    <mergeCell ref="I16:K16"/>
    <mergeCell ref="C17:H17"/>
    <mergeCell ref="I17:K17"/>
    <mergeCell ref="C18:H18"/>
    <mergeCell ref="C19:H19"/>
    <mergeCell ref="I19:K19"/>
    <mergeCell ref="C20:H20"/>
    <mergeCell ref="I20:K20"/>
    <mergeCell ref="C26:H26"/>
    <mergeCell ref="C27:H27"/>
    <mergeCell ref="C39:H39"/>
    <mergeCell ref="B42:K42"/>
    <mergeCell ref="L32:M32"/>
    <mergeCell ref="C33:H33"/>
    <mergeCell ref="C34:H34"/>
    <mergeCell ref="C29:H29"/>
    <mergeCell ref="C30:H30"/>
    <mergeCell ref="B32:K32"/>
    <mergeCell ref="B37:K37"/>
    <mergeCell ref="C38:H38"/>
    <mergeCell ref="I38:K38"/>
    <mergeCell ref="C28:H28"/>
    <mergeCell ref="B57:K57"/>
    <mergeCell ref="C58:H58"/>
    <mergeCell ref="C59:H59"/>
    <mergeCell ref="B63:K63"/>
    <mergeCell ref="C43:H43"/>
    <mergeCell ref="I43:K43"/>
    <mergeCell ref="C79:H79"/>
    <mergeCell ref="C80:H80"/>
    <mergeCell ref="C83:H83"/>
    <mergeCell ref="I83:K83"/>
    <mergeCell ref="L5:L6"/>
    <mergeCell ref="C74:H74"/>
    <mergeCell ref="C75:H75"/>
    <mergeCell ref="C77:H77"/>
    <mergeCell ref="C64:H64"/>
    <mergeCell ref="C44:H44"/>
    <mergeCell ref="B47:K47"/>
    <mergeCell ref="C48:H48"/>
    <mergeCell ref="C49:H49"/>
    <mergeCell ref="B52:K52"/>
    <mergeCell ref="C53:H53"/>
    <mergeCell ref="C54:H54"/>
    <mergeCell ref="C78:H78"/>
    <mergeCell ref="C65:H65"/>
    <mergeCell ref="C67:H67"/>
    <mergeCell ref="C68:H68"/>
    <mergeCell ref="C70:H70"/>
    <mergeCell ref="C71:H71"/>
    <mergeCell ref="B72:K72"/>
    <mergeCell ref="C73:H73"/>
    <mergeCell ref="C69:H69"/>
  </mergeCells>
  <pageMargins left="0" right="0.11811023622047245" top="0.74803149606299213" bottom="0.74803149606299213" header="0.31496062992125984" footer="0.31496062992125984"/>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3" tint="0.79998168889431442"/>
    <pageSetUpPr fitToPage="1"/>
  </sheetPr>
  <dimension ref="B2:D33"/>
  <sheetViews>
    <sheetView topLeftCell="A3" zoomScale="90" zoomScaleNormal="90" workbookViewId="0">
      <selection activeCell="C48" sqref="C48:H48"/>
    </sheetView>
  </sheetViews>
  <sheetFormatPr baseColWidth="10" defaultRowHeight="15" x14ac:dyDescent="0.25"/>
  <cols>
    <col min="1" max="1" width="2.77734375" style="58" customWidth="1"/>
    <col min="2" max="2" width="22.5546875" style="58" customWidth="1"/>
    <col min="3" max="3" width="23.77734375" style="58" customWidth="1"/>
    <col min="4" max="16384" width="11.5546875" style="58"/>
  </cols>
  <sheetData>
    <row r="2" spans="2:4" x14ac:dyDescent="0.25">
      <c r="B2" s="56"/>
      <c r="C2" s="56"/>
    </row>
    <row r="3" spans="2:4" x14ac:dyDescent="0.25">
      <c r="B3" s="454" t="s">
        <v>222</v>
      </c>
      <c r="C3" s="454"/>
    </row>
    <row r="4" spans="2:4" x14ac:dyDescent="0.25">
      <c r="B4" s="454"/>
      <c r="C4" s="454"/>
    </row>
    <row r="5" spans="2:4" ht="15.75" thickBot="1" x14ac:dyDescent="0.3">
      <c r="B5" s="59"/>
      <c r="C5" s="59"/>
    </row>
    <row r="6" spans="2:4" ht="15" customHeight="1" x14ac:dyDescent="0.25">
      <c r="B6" s="396" t="s">
        <v>88</v>
      </c>
      <c r="C6" s="396" t="s">
        <v>221</v>
      </c>
    </row>
    <row r="7" spans="2:4" x14ac:dyDescent="0.25">
      <c r="B7" s="397"/>
      <c r="C7" s="399"/>
    </row>
    <row r="8" spans="2:4" x14ac:dyDescent="0.25">
      <c r="B8" s="397"/>
      <c r="C8" s="399"/>
    </row>
    <row r="9" spans="2:4" ht="15.75" thickBot="1" x14ac:dyDescent="0.3">
      <c r="B9" s="398"/>
      <c r="C9" s="400"/>
    </row>
    <row r="10" spans="2:4" ht="24" customHeight="1" x14ac:dyDescent="0.25">
      <c r="B10" s="270" t="s">
        <v>66</v>
      </c>
      <c r="C10" s="271">
        <v>37232</v>
      </c>
      <c r="D10" s="272"/>
    </row>
    <row r="11" spans="2:4" ht="24" customHeight="1" x14ac:dyDescent="0.25">
      <c r="B11" s="270" t="s">
        <v>67</v>
      </c>
      <c r="C11" s="273">
        <v>15393</v>
      </c>
      <c r="D11" s="272"/>
    </row>
    <row r="12" spans="2:4" ht="24" customHeight="1" x14ac:dyDescent="0.25">
      <c r="B12" s="270" t="s">
        <v>68</v>
      </c>
      <c r="C12" s="274">
        <v>11536</v>
      </c>
      <c r="D12" s="272"/>
    </row>
    <row r="13" spans="2:4" ht="24" customHeight="1" x14ac:dyDescent="0.25">
      <c r="B13" s="270" t="s">
        <v>69</v>
      </c>
      <c r="C13" s="274">
        <v>187632</v>
      </c>
      <c r="D13" s="272"/>
    </row>
    <row r="14" spans="2:4" ht="24" customHeight="1" x14ac:dyDescent="0.25">
      <c r="B14" s="270" t="s">
        <v>70</v>
      </c>
      <c r="C14" s="274">
        <v>77436</v>
      </c>
      <c r="D14" s="272"/>
    </row>
    <row r="15" spans="2:4" ht="24" customHeight="1" x14ac:dyDescent="0.25">
      <c r="B15" s="270" t="s">
        <v>71</v>
      </c>
      <c r="C15" s="274">
        <v>47550</v>
      </c>
      <c r="D15" s="272"/>
    </row>
    <row r="16" spans="2:4" ht="24" customHeight="1" x14ac:dyDescent="0.25">
      <c r="B16" s="270" t="s">
        <v>72</v>
      </c>
      <c r="C16" s="274">
        <v>12230</v>
      </c>
      <c r="D16" s="272"/>
    </row>
    <row r="17" spans="2:4" ht="24" customHeight="1" x14ac:dyDescent="0.25">
      <c r="B17" s="270" t="s">
        <v>73</v>
      </c>
      <c r="C17" s="274">
        <v>29299</v>
      </c>
      <c r="D17" s="272"/>
    </row>
    <row r="18" spans="2:4" ht="24" customHeight="1" x14ac:dyDescent="0.25">
      <c r="B18" s="270" t="s">
        <v>74</v>
      </c>
      <c r="C18" s="274">
        <v>19321</v>
      </c>
      <c r="D18" s="272"/>
    </row>
    <row r="19" spans="2:4" ht="24" customHeight="1" x14ac:dyDescent="0.25">
      <c r="B19" s="270" t="s">
        <v>75</v>
      </c>
      <c r="C19" s="274">
        <v>13719</v>
      </c>
      <c r="D19" s="272"/>
    </row>
    <row r="20" spans="2:4" ht="24" customHeight="1" x14ac:dyDescent="0.25">
      <c r="B20" s="270" t="s">
        <v>76</v>
      </c>
      <c r="C20" s="274">
        <v>33567</v>
      </c>
      <c r="D20" s="272"/>
    </row>
    <row r="21" spans="2:4" ht="24" customHeight="1" x14ac:dyDescent="0.25">
      <c r="B21" s="270" t="s">
        <v>77</v>
      </c>
      <c r="C21" s="274">
        <v>24096</v>
      </c>
      <c r="D21" s="272"/>
    </row>
    <row r="22" spans="2:4" ht="24" customHeight="1" x14ac:dyDescent="0.25">
      <c r="B22" s="270" t="s">
        <v>78</v>
      </c>
      <c r="C22" s="274">
        <v>41518</v>
      </c>
      <c r="D22" s="272"/>
    </row>
    <row r="23" spans="2:4" ht="24" customHeight="1" x14ac:dyDescent="0.25">
      <c r="B23" s="270" t="s">
        <v>79</v>
      </c>
      <c r="C23" s="274">
        <v>7683</v>
      </c>
      <c r="D23" s="272"/>
    </row>
    <row r="24" spans="2:4" ht="24" customHeight="1" x14ac:dyDescent="0.25">
      <c r="B24" s="270" t="s">
        <v>80</v>
      </c>
      <c r="C24" s="274">
        <v>24911</v>
      </c>
      <c r="D24" s="272"/>
    </row>
    <row r="25" spans="2:4" ht="24" customHeight="1" x14ac:dyDescent="0.25">
      <c r="B25" s="270" t="s">
        <v>81</v>
      </c>
      <c r="C25" s="274">
        <v>93981</v>
      </c>
      <c r="D25" s="272"/>
    </row>
    <row r="26" spans="2:4" ht="24" customHeight="1" x14ac:dyDescent="0.25">
      <c r="B26" s="270" t="s">
        <v>82</v>
      </c>
      <c r="C26" s="274">
        <v>37135</v>
      </c>
      <c r="D26" s="272"/>
    </row>
    <row r="27" spans="2:4" ht="24" customHeight="1" x14ac:dyDescent="0.25">
      <c r="B27" s="270" t="s">
        <v>83</v>
      </c>
      <c r="C27" s="274">
        <v>425924</v>
      </c>
      <c r="D27" s="272"/>
    </row>
    <row r="28" spans="2:4" ht="24" customHeight="1" x14ac:dyDescent="0.25">
      <c r="B28" s="270" t="s">
        <v>84</v>
      </c>
      <c r="C28" s="274">
        <v>30064</v>
      </c>
      <c r="D28" s="272"/>
    </row>
    <row r="29" spans="2:4" ht="24" customHeight="1" thickBot="1" x14ac:dyDescent="0.3">
      <c r="B29" s="270" t="s">
        <v>85</v>
      </c>
      <c r="C29" s="274">
        <v>65229</v>
      </c>
      <c r="D29" s="272"/>
    </row>
    <row r="30" spans="2:4" ht="24" customHeight="1" thickBot="1" x14ac:dyDescent="0.3">
      <c r="B30" s="275" t="s">
        <v>86</v>
      </c>
      <c r="C30" s="276">
        <f>SUM(C10:C29)</f>
        <v>1235456</v>
      </c>
    </row>
    <row r="31" spans="2:4" x14ac:dyDescent="0.25">
      <c r="B31" s="56"/>
      <c r="C31" s="56"/>
    </row>
    <row r="32" spans="2:4" x14ac:dyDescent="0.25">
      <c r="B32" s="56" t="s">
        <v>193</v>
      </c>
      <c r="C32" s="56"/>
    </row>
    <row r="33" spans="2:2" x14ac:dyDescent="0.25">
      <c r="B33" s="186" t="s">
        <v>194</v>
      </c>
    </row>
  </sheetData>
  <mergeCells count="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PROVISIONALES</vt:lpstr>
      <vt:lpstr>DEFINITIVAS</vt:lpstr>
      <vt:lpstr>SALDO AJUSTES</vt:lpstr>
      <vt:lpstr>FGP</vt:lpstr>
      <vt:lpstr>FFM</vt:lpstr>
      <vt:lpstr>IEPS TyA</vt:lpstr>
      <vt:lpstr>FOFIR</vt:lpstr>
      <vt:lpstr>Datos!Área_de_impresión</vt:lpstr>
      <vt:lpstr>FFM!Área_de_impresión</vt:lpstr>
      <vt:lpstr>FGP!Área_de_impresión</vt:lpstr>
      <vt:lpstr>FOFIR!Área_de_impresión</vt:lpstr>
      <vt:lpstr>'Predial y Agua'!Área_de_impresión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 Quiñones B</dc:creator>
  <cp:lastModifiedBy>Palmira González</cp:lastModifiedBy>
  <cp:lastPrinted>2022-06-14T19:06:36Z</cp:lastPrinted>
  <dcterms:created xsi:type="dcterms:W3CDTF">2015-06-09T18:03:51Z</dcterms:created>
  <dcterms:modified xsi:type="dcterms:W3CDTF">2022-06-15T19:54:47Z</dcterms:modified>
</cp:coreProperties>
</file>